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I:\Qualitätssicherung\Konformitätserklärungen\Konfliktmineralien\CMRT OMNIRAY\"/>
    </mc:Choice>
  </mc:AlternateContent>
  <xr:revisionPtr revIDLastSave="0" documentId="13_ncr:1_{921E2043-4684-43A7-9403-B0C837C6ABA8}"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2868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List'!$A$4:$Q$2504</definedName>
    <definedName name="_xlnm._FilterDatabase" localSheetId="7" hidden="1">'Smelter Look-up'!$A$4:$I$602</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80" i="5" l="1"/>
  <c r="T385" i="5"/>
  <c r="T480" i="5"/>
  <c r="T483" i="5"/>
  <c r="T538" i="5"/>
  <c r="T754" i="5"/>
  <c r="T755" i="5"/>
  <c r="T756" i="5"/>
  <c r="T757" i="5"/>
  <c r="T759" i="5"/>
  <c r="T760" i="5"/>
  <c r="T773" i="5"/>
  <c r="T790" i="5"/>
  <c r="T809" i="5"/>
  <c r="T818" i="5"/>
  <c r="T865" i="5"/>
  <c r="T941" i="5"/>
  <c r="T981" i="5"/>
  <c r="T1015" i="5"/>
  <c r="T1157" i="5"/>
  <c r="B1160" i="5"/>
  <c r="S1160" i="5" s="1"/>
  <c r="T1160" i="5"/>
  <c r="B1161" i="5"/>
  <c r="T1161" i="5"/>
  <c r="B1162" i="5"/>
  <c r="T1162" i="5" s="1"/>
  <c r="B1163" i="5"/>
  <c r="T1163" i="5" s="1"/>
  <c r="B1164" i="5"/>
  <c r="T1164" i="5" s="1"/>
  <c r="B1165" i="5"/>
  <c r="S1165" i="5" s="1"/>
  <c r="T1165" i="5"/>
  <c r="B1166" i="5"/>
  <c r="B1167" i="5"/>
  <c r="T1167" i="5"/>
  <c r="B1168" i="5"/>
  <c r="T1168" i="5"/>
  <c r="B1169" i="5"/>
  <c r="T1169" i="5" s="1"/>
  <c r="B1170" i="5"/>
  <c r="B1171" i="5"/>
  <c r="T1171" i="5" s="1"/>
  <c r="B1172" i="5"/>
  <c r="T1172" i="5"/>
  <c r="B1173" i="5"/>
  <c r="B1174" i="5"/>
  <c r="T1174" i="5"/>
  <c r="B1175" i="5"/>
  <c r="B1176" i="5"/>
  <c r="T1176" i="5" s="1"/>
  <c r="B1177" i="5"/>
  <c r="T1177" i="5" s="1"/>
  <c r="B1178" i="5"/>
  <c r="T1178" i="5" s="1"/>
  <c r="B1179" i="5"/>
  <c r="B1180" i="5"/>
  <c r="S1180" i="5" s="1"/>
  <c r="B1181" i="5"/>
  <c r="B1182" i="5"/>
  <c r="S1182" i="5" s="1"/>
  <c r="T1182" i="5"/>
  <c r="B1183" i="5"/>
  <c r="T1183" i="5" s="1"/>
  <c r="B1184" i="5"/>
  <c r="S1184" i="5" s="1"/>
  <c r="T1184" i="5"/>
  <c r="B1185" i="5"/>
  <c r="T1185" i="5" s="1"/>
  <c r="B1186" i="5"/>
  <c r="T1186" i="5" s="1"/>
  <c r="B1187" i="5"/>
  <c r="B1188" i="5"/>
  <c r="B1189" i="5"/>
  <c r="T1189" i="5"/>
  <c r="B1190" i="5"/>
  <c r="T1190" i="5" s="1"/>
  <c r="B1191" i="5"/>
  <c r="B1192" i="5"/>
  <c r="T1192" i="5"/>
  <c r="B1193" i="5"/>
  <c r="B1194" i="5"/>
  <c r="T1194" i="5" s="1"/>
  <c r="B1195" i="5"/>
  <c r="B1196" i="5"/>
  <c r="S1196" i="5" s="1"/>
  <c r="B1197" i="5"/>
  <c r="T1197" i="5" s="1"/>
  <c r="B1198" i="5"/>
  <c r="T1198" i="5"/>
  <c r="B1199" i="5"/>
  <c r="B1200" i="5"/>
  <c r="B1201" i="5"/>
  <c r="B1202" i="5"/>
  <c r="T1202" i="5" s="1"/>
  <c r="B1203" i="5"/>
  <c r="T1203" i="5" s="1"/>
  <c r="B1204" i="5"/>
  <c r="S1204" i="5" s="1"/>
  <c r="B1205" i="5"/>
  <c r="AB1205" i="5" s="1"/>
  <c r="B1206" i="5"/>
  <c r="B1207" i="5"/>
  <c r="T1207" i="5" s="1"/>
  <c r="B1208" i="5"/>
  <c r="T1208" i="5"/>
  <c r="B1209" i="5"/>
  <c r="T1209" i="5" s="1"/>
  <c r="B1210" i="5"/>
  <c r="B1211" i="5"/>
  <c r="T1211" i="5" s="1"/>
  <c r="B1212" i="5"/>
  <c r="T1212" i="5" s="1"/>
  <c r="B1213" i="5"/>
  <c r="T1213" i="5" s="1"/>
  <c r="B1214" i="5"/>
  <c r="T1214" i="5" s="1"/>
  <c r="B1215" i="5"/>
  <c r="T1215" i="5" s="1"/>
  <c r="B1216" i="5"/>
  <c r="T1216" i="5"/>
  <c r="B1217" i="5"/>
  <c r="B1218" i="5"/>
  <c r="T1218" i="5" s="1"/>
  <c r="B1219" i="5"/>
  <c r="T1219" i="5" s="1"/>
  <c r="B1220" i="5"/>
  <c r="T1220" i="5" s="1"/>
  <c r="B1221" i="5"/>
  <c r="T1221" i="5" s="1"/>
  <c r="B1222" i="5"/>
  <c r="B1223" i="5"/>
  <c r="B1224" i="5"/>
  <c r="S1224" i="5" s="1"/>
  <c r="B1225" i="5"/>
  <c r="T1225" i="5" s="1"/>
  <c r="B1226" i="5"/>
  <c r="T1226" i="5" s="1"/>
  <c r="B1227" i="5"/>
  <c r="T1227" i="5" s="1"/>
  <c r="B1228" i="5"/>
  <c r="B1229" i="5"/>
  <c r="T1229" i="5" s="1"/>
  <c r="B1230" i="5"/>
  <c r="B1231" i="5"/>
  <c r="B1232" i="5"/>
  <c r="B1233" i="5"/>
  <c r="B1234" i="5"/>
  <c r="B1235" i="5"/>
  <c r="T1235" i="5" s="1"/>
  <c r="B1236" i="5"/>
  <c r="T1236" i="5" s="1"/>
  <c r="B1237" i="5"/>
  <c r="T1237" i="5"/>
  <c r="B1238" i="5"/>
  <c r="AB1238" i="5" s="1"/>
  <c r="B1239" i="5"/>
  <c r="B1240" i="5"/>
  <c r="T1240" i="5"/>
  <c r="B1241" i="5"/>
  <c r="B1242" i="5"/>
  <c r="T1242" i="5" s="1"/>
  <c r="B1243" i="5"/>
  <c r="S1243" i="5" s="1"/>
  <c r="T1243" i="5"/>
  <c r="B1244" i="5"/>
  <c r="T1244" i="5" s="1"/>
  <c r="B1245" i="5"/>
  <c r="B1246" i="5"/>
  <c r="T1246" i="5"/>
  <c r="B1247" i="5"/>
  <c r="T1247" i="5" s="1"/>
  <c r="B1248" i="5"/>
  <c r="B1249" i="5"/>
  <c r="T1249" i="5"/>
  <c r="B1250" i="5"/>
  <c r="T1250" i="5" s="1"/>
  <c r="B1251" i="5"/>
  <c r="T1251" i="5"/>
  <c r="B1252" i="5"/>
  <c r="B1253" i="5"/>
  <c r="B1254" i="5"/>
  <c r="T1254" i="5" s="1"/>
  <c r="B1255" i="5"/>
  <c r="S1255" i="5" s="1"/>
  <c r="T1255" i="5"/>
  <c r="B1256" i="5"/>
  <c r="B1257" i="5"/>
  <c r="T1257" i="5" s="1"/>
  <c r="B1258" i="5"/>
  <c r="T1258" i="5"/>
  <c r="B1259" i="5"/>
  <c r="B1260" i="5"/>
  <c r="T1260" i="5" s="1"/>
  <c r="B1261" i="5"/>
  <c r="T1261" i="5" s="1"/>
  <c r="B1262" i="5"/>
  <c r="B1263" i="5"/>
  <c r="B1264" i="5"/>
  <c r="S1264" i="5" s="1"/>
  <c r="B1265" i="5"/>
  <c r="T1265" i="5" s="1"/>
  <c r="B1266" i="5"/>
  <c r="B1267" i="5"/>
  <c r="T1267" i="5" s="1"/>
  <c r="B1268" i="5"/>
  <c r="B1269" i="5"/>
  <c r="B1270" i="5"/>
  <c r="T1270" i="5" s="1"/>
  <c r="B1271" i="5"/>
  <c r="B1272" i="5"/>
  <c r="B1273" i="5"/>
  <c r="T1273" i="5" s="1"/>
  <c r="B1274" i="5"/>
  <c r="T1274" i="5" s="1"/>
  <c r="B1275" i="5"/>
  <c r="T1275" i="5"/>
  <c r="B1276" i="5"/>
  <c r="T1276" i="5" s="1"/>
  <c r="B1277" i="5"/>
  <c r="T1277" i="5" s="1"/>
  <c r="B1278" i="5"/>
  <c r="B1279" i="5"/>
  <c r="B1280" i="5"/>
  <c r="B1281" i="5"/>
  <c r="T1281" i="5"/>
  <c r="B1282" i="5"/>
  <c r="T1282" i="5"/>
  <c r="B1283" i="5"/>
  <c r="T1283" i="5" s="1"/>
  <c r="B1284" i="5"/>
  <c r="T1284" i="5" s="1"/>
  <c r="B1285" i="5"/>
  <c r="T1285" i="5"/>
  <c r="B1286" i="5"/>
  <c r="B1287" i="5"/>
  <c r="T1287" i="5" s="1"/>
  <c r="B1288" i="5"/>
  <c r="B1289" i="5"/>
  <c r="B1290" i="5"/>
  <c r="T1290" i="5" s="1"/>
  <c r="B1291" i="5"/>
  <c r="T1291" i="5"/>
  <c r="B1292" i="5"/>
  <c r="B1293" i="5"/>
  <c r="T1293" i="5" s="1"/>
  <c r="B1294" i="5"/>
  <c r="B1295" i="5"/>
  <c r="B1296" i="5"/>
  <c r="B1297" i="5"/>
  <c r="B1298" i="5"/>
  <c r="T1298" i="5"/>
  <c r="B1299" i="5"/>
  <c r="T1299" i="5" s="1"/>
  <c r="B1300" i="5"/>
  <c r="T1300" i="5"/>
  <c r="B1301" i="5"/>
  <c r="T1301" i="5" s="1"/>
  <c r="B1302" i="5"/>
  <c r="T1302" i="5" s="1"/>
  <c r="B1303" i="5"/>
  <c r="T1303" i="5"/>
  <c r="B1304" i="5"/>
  <c r="B1305" i="5"/>
  <c r="B1306" i="5"/>
  <c r="B1307" i="5"/>
  <c r="B1308" i="5"/>
  <c r="T1308" i="5" s="1"/>
  <c r="B1309" i="5"/>
  <c r="T1309" i="5" s="1"/>
  <c r="B1310" i="5"/>
  <c r="B1311" i="5"/>
  <c r="S1311" i="5" s="1"/>
  <c r="B1312" i="5"/>
  <c r="T1312" i="5" s="1"/>
  <c r="B1313" i="5"/>
  <c r="T1313" i="5" s="1"/>
  <c r="B1314" i="5"/>
  <c r="T1314" i="5"/>
  <c r="B1315" i="5"/>
  <c r="S1315" i="5" s="1"/>
  <c r="T1315" i="5"/>
  <c r="B1316" i="5"/>
  <c r="T1316" i="5" s="1"/>
  <c r="B1317" i="5"/>
  <c r="T1317" i="5" s="1"/>
  <c r="B1318" i="5"/>
  <c r="B1319" i="5"/>
  <c r="T1319" i="5" s="1"/>
  <c r="B1320" i="5"/>
  <c r="T1320" i="5" s="1"/>
  <c r="B1321" i="5"/>
  <c r="T1321" i="5" s="1"/>
  <c r="B1322" i="5"/>
  <c r="B1323" i="5"/>
  <c r="T1323" i="5" s="1"/>
  <c r="B1324" i="5"/>
  <c r="T1324" i="5" s="1"/>
  <c r="B1325" i="5"/>
  <c r="T1325" i="5" s="1"/>
  <c r="B1326" i="5"/>
  <c r="B1327" i="5"/>
  <c r="T1327" i="5" s="1"/>
  <c r="B1328" i="5"/>
  <c r="T1328" i="5" s="1"/>
  <c r="B1329" i="5"/>
  <c r="S1329" i="5" s="1"/>
  <c r="B1330" i="5"/>
  <c r="T1330" i="5" s="1"/>
  <c r="B1331" i="5"/>
  <c r="T1331" i="5" s="1"/>
  <c r="B1332" i="5"/>
  <c r="T1332" i="5" s="1"/>
  <c r="B1333" i="5"/>
  <c r="T1333" i="5"/>
  <c r="B1334" i="5"/>
  <c r="T1334" i="5" s="1"/>
  <c r="B1335" i="5"/>
  <c r="B1336" i="5"/>
  <c r="T1336" i="5" s="1"/>
  <c r="B1337" i="5"/>
  <c r="T1337" i="5" s="1"/>
  <c r="B1338" i="5"/>
  <c r="B1339" i="5"/>
  <c r="B1340" i="5"/>
  <c r="T1340" i="5" s="1"/>
  <c r="B1341" i="5"/>
  <c r="T1341" i="5" s="1"/>
  <c r="B1342" i="5"/>
  <c r="T1342" i="5"/>
  <c r="B1343" i="5"/>
  <c r="AB1343" i="5" s="1"/>
  <c r="B1344" i="5"/>
  <c r="T1344" i="5" s="1"/>
  <c r="B1345" i="5"/>
  <c r="T1345" i="5"/>
  <c r="B1346" i="5"/>
  <c r="S1346" i="5" s="1"/>
  <c r="B1347" i="5"/>
  <c r="B1348" i="5"/>
  <c r="T1348" i="5" s="1"/>
  <c r="B1349" i="5"/>
  <c r="T1349" i="5" s="1"/>
  <c r="B1350" i="5"/>
  <c r="T1350" i="5" s="1"/>
  <c r="B1351" i="5"/>
  <c r="T1351" i="5" s="1"/>
  <c r="B1352" i="5"/>
  <c r="S1352" i="5" s="1"/>
  <c r="B1353" i="5"/>
  <c r="T1353" i="5" s="1"/>
  <c r="B1354" i="5"/>
  <c r="T1354" i="5" s="1"/>
  <c r="B1355" i="5"/>
  <c r="S1355" i="5" s="1"/>
  <c r="B1356" i="5"/>
  <c r="T1356" i="5" s="1"/>
  <c r="B1357" i="5"/>
  <c r="T1357" i="5" s="1"/>
  <c r="B1358" i="5"/>
  <c r="T1358" i="5" s="1"/>
  <c r="B1359" i="5"/>
  <c r="B1360" i="5"/>
  <c r="T1360" i="5" s="1"/>
  <c r="B1361" i="5"/>
  <c r="T1361" i="5" s="1"/>
  <c r="B1362" i="5"/>
  <c r="T1362" i="5" s="1"/>
  <c r="B1363" i="5"/>
  <c r="T1363" i="5" s="1"/>
  <c r="B1364" i="5"/>
  <c r="B1365" i="5"/>
  <c r="T1365" i="5" s="1"/>
  <c r="B1366" i="5"/>
  <c r="T1366" i="5"/>
  <c r="B1367" i="5"/>
  <c r="B1368" i="5"/>
  <c r="T1368" i="5" s="1"/>
  <c r="B1369" i="5"/>
  <c r="T1369" i="5"/>
  <c r="B1370" i="5"/>
  <c r="B1371" i="5"/>
  <c r="B1372" i="5"/>
  <c r="T1372" i="5" s="1"/>
  <c r="B1373" i="5"/>
  <c r="T1373" i="5" s="1"/>
  <c r="B1374" i="5"/>
  <c r="B1375" i="5"/>
  <c r="T1375" i="5" s="1"/>
  <c r="B1376" i="5"/>
  <c r="B1377" i="5"/>
  <c r="T1377" i="5" s="1"/>
  <c r="B1378" i="5"/>
  <c r="T1378" i="5" s="1"/>
  <c r="B1379" i="5"/>
  <c r="B1380" i="5"/>
  <c r="T1380" i="5" s="1"/>
  <c r="B1381" i="5"/>
  <c r="B1382" i="5"/>
  <c r="T1382" i="5" s="1"/>
  <c r="B1383" i="5"/>
  <c r="T1383" i="5" s="1"/>
  <c r="B1384" i="5"/>
  <c r="T1384" i="5"/>
  <c r="B1385" i="5"/>
  <c r="B1386" i="5"/>
  <c r="B1387" i="5"/>
  <c r="B1388" i="5"/>
  <c r="T1388" i="5" s="1"/>
  <c r="B1389" i="5"/>
  <c r="T1389" i="5" s="1"/>
  <c r="B1390" i="5"/>
  <c r="B1391" i="5"/>
  <c r="T1391" i="5" s="1"/>
  <c r="B1392" i="5"/>
  <c r="B1393" i="5"/>
  <c r="T1393" i="5" s="1"/>
  <c r="B1394" i="5"/>
  <c r="T1394" i="5" s="1"/>
  <c r="B1395" i="5"/>
  <c r="T1395" i="5" s="1"/>
  <c r="B1396" i="5"/>
  <c r="T1396" i="5" s="1"/>
  <c r="B1397" i="5"/>
  <c r="T1397" i="5" s="1"/>
  <c r="B1398" i="5"/>
  <c r="AB1398" i="5" s="1"/>
  <c r="B1399" i="5"/>
  <c r="T1399" i="5"/>
  <c r="B1400" i="5"/>
  <c r="T1400" i="5" s="1"/>
  <c r="B1401" i="5"/>
  <c r="T1401" i="5" s="1"/>
  <c r="B1402" i="5"/>
  <c r="T1402" i="5" s="1"/>
  <c r="B1403" i="5"/>
  <c r="T1403" i="5" s="1"/>
  <c r="B1404" i="5"/>
  <c r="T1404" i="5" s="1"/>
  <c r="B1405" i="5"/>
  <c r="T1405" i="5"/>
  <c r="B1406" i="5"/>
  <c r="B1407" i="5"/>
  <c r="S1407" i="5" s="1"/>
  <c r="B1408" i="5"/>
  <c r="T1408" i="5" s="1"/>
  <c r="B1409" i="5"/>
  <c r="B1410" i="5"/>
  <c r="T1410" i="5" s="1"/>
  <c r="B1411" i="5"/>
  <c r="T1411" i="5" s="1"/>
  <c r="B1412" i="5"/>
  <c r="T1412" i="5" s="1"/>
  <c r="B1413" i="5"/>
  <c r="T1413" i="5"/>
  <c r="B1414" i="5"/>
  <c r="T1414" i="5" s="1"/>
  <c r="B1415" i="5"/>
  <c r="AB1415" i="5" s="1"/>
  <c r="B1416" i="5"/>
  <c r="T1416" i="5" s="1"/>
  <c r="B1417" i="5"/>
  <c r="T1417" i="5" s="1"/>
  <c r="B1418" i="5"/>
  <c r="T1418" i="5" s="1"/>
  <c r="B1419" i="5"/>
  <c r="B1420" i="5"/>
  <c r="T1420" i="5" s="1"/>
  <c r="B1421" i="5"/>
  <c r="B1422" i="5"/>
  <c r="T1422" i="5"/>
  <c r="B1423" i="5"/>
  <c r="B1424" i="5"/>
  <c r="B1425" i="5"/>
  <c r="B1426" i="5"/>
  <c r="T1426" i="5" s="1"/>
  <c r="B1427" i="5"/>
  <c r="B1428" i="5"/>
  <c r="B1429" i="5"/>
  <c r="B1430" i="5"/>
  <c r="T1430" i="5" s="1"/>
  <c r="B1431" i="5"/>
  <c r="T1431" i="5" s="1"/>
  <c r="B1432" i="5"/>
  <c r="T1432" i="5" s="1"/>
  <c r="B1433" i="5"/>
  <c r="T1433" i="5" s="1"/>
  <c r="B1434" i="5"/>
  <c r="T1434" i="5" s="1"/>
  <c r="B1435" i="5"/>
  <c r="B1436" i="5"/>
  <c r="T1436" i="5"/>
  <c r="B1437" i="5"/>
  <c r="T1437" i="5" s="1"/>
  <c r="B1438" i="5"/>
  <c r="B1439" i="5"/>
  <c r="B1440" i="5"/>
  <c r="T1440" i="5" s="1"/>
  <c r="B1441" i="5"/>
  <c r="T1441" i="5" s="1"/>
  <c r="B1442" i="5"/>
  <c r="T1442" i="5" s="1"/>
  <c r="B1443" i="5"/>
  <c r="B1444" i="5"/>
  <c r="T1444" i="5" s="1"/>
  <c r="B1445" i="5"/>
  <c r="B1446" i="5"/>
  <c r="B1447" i="5"/>
  <c r="B1448" i="5"/>
  <c r="T1448" i="5" s="1"/>
  <c r="B1449" i="5"/>
  <c r="T1449" i="5"/>
  <c r="B1450" i="5"/>
  <c r="T1450" i="5" s="1"/>
  <c r="B1451" i="5"/>
  <c r="B1452" i="5"/>
  <c r="T1452" i="5" s="1"/>
  <c r="B1453" i="5"/>
  <c r="B1454" i="5"/>
  <c r="T1454" i="5" s="1"/>
  <c r="B1455" i="5"/>
  <c r="T1455" i="5" s="1"/>
  <c r="B1456" i="5"/>
  <c r="T1456" i="5" s="1"/>
  <c r="B1457" i="5"/>
  <c r="T1457" i="5" s="1"/>
  <c r="B1458" i="5"/>
  <c r="T1458" i="5" s="1"/>
  <c r="B1459" i="5"/>
  <c r="T1459" i="5"/>
  <c r="B1460" i="5"/>
  <c r="B1461" i="5"/>
  <c r="T1461" i="5" s="1"/>
  <c r="B1462" i="5"/>
  <c r="T1462" i="5" s="1"/>
  <c r="B1463" i="5"/>
  <c r="T1463" i="5" s="1"/>
  <c r="B1464" i="5"/>
  <c r="T1464" i="5" s="1"/>
  <c r="B1465" i="5"/>
  <c r="T1465" i="5" s="1"/>
  <c r="B1466" i="5"/>
  <c r="B1467" i="5"/>
  <c r="T1467" i="5" s="1"/>
  <c r="B1468" i="5"/>
  <c r="T1468" i="5" s="1"/>
  <c r="B1469" i="5"/>
  <c r="T1469" i="5" s="1"/>
  <c r="B1470" i="5"/>
  <c r="B1471" i="5"/>
  <c r="T1471" i="5" s="1"/>
  <c r="B1472" i="5"/>
  <c r="T1472" i="5" s="1"/>
  <c r="B1473" i="5"/>
  <c r="T1473" i="5" s="1"/>
  <c r="B1474" i="5"/>
  <c r="T1474" i="5"/>
  <c r="B1475" i="5"/>
  <c r="B1476" i="5"/>
  <c r="B1477" i="5"/>
  <c r="T1477" i="5" s="1"/>
  <c r="B1478" i="5"/>
  <c r="T1478" i="5" s="1"/>
  <c r="B1479" i="5"/>
  <c r="T1479" i="5" s="1"/>
  <c r="B1480" i="5"/>
  <c r="B1481" i="5"/>
  <c r="B1482" i="5"/>
  <c r="T1482" i="5" s="1"/>
  <c r="B1483" i="5"/>
  <c r="T1483" i="5" s="1"/>
  <c r="B1484" i="5"/>
  <c r="T1484" i="5" s="1"/>
  <c r="B1485" i="5"/>
  <c r="B1486" i="5"/>
  <c r="B1487" i="5"/>
  <c r="B1488" i="5"/>
  <c r="T1488" i="5" s="1"/>
  <c r="B1489" i="5"/>
  <c r="B1490" i="5"/>
  <c r="T1490" i="5" s="1"/>
  <c r="B1491" i="5"/>
  <c r="T1491" i="5" s="1"/>
  <c r="B1492" i="5"/>
  <c r="T1492" i="5" s="1"/>
  <c r="B1493" i="5"/>
  <c r="T1493" i="5" s="1"/>
  <c r="B1494" i="5"/>
  <c r="T1494" i="5" s="1"/>
  <c r="B1495" i="5"/>
  <c r="T1495" i="5" s="1"/>
  <c r="B1496" i="5"/>
  <c r="S1496" i="5" s="1"/>
  <c r="T1496" i="5"/>
  <c r="B1497" i="5"/>
  <c r="B1498" i="5"/>
  <c r="T1498" i="5" s="1"/>
  <c r="B1499" i="5"/>
  <c r="B1500" i="5"/>
  <c r="T1500" i="5" s="1"/>
  <c r="B1501" i="5"/>
  <c r="B1502" i="5"/>
  <c r="T1502" i="5" s="1"/>
  <c r="B1503" i="5"/>
  <c r="T1503" i="5" s="1"/>
  <c r="B1504" i="5"/>
  <c r="B1505" i="5"/>
  <c r="B1506" i="5"/>
  <c r="T1506" i="5" s="1"/>
  <c r="B1507" i="5"/>
  <c r="S1507" i="5" s="1"/>
  <c r="T1507" i="5"/>
  <c r="B1508" i="5"/>
  <c r="T1508" i="5"/>
  <c r="B1509" i="5"/>
  <c r="T1509" i="5" s="1"/>
  <c r="B1510" i="5"/>
  <c r="T1510" i="5" s="1"/>
  <c r="B1511" i="5"/>
  <c r="T1511" i="5" s="1"/>
  <c r="B1512" i="5"/>
  <c r="T1512" i="5" s="1"/>
  <c r="B1513" i="5"/>
  <c r="T1513" i="5"/>
  <c r="B1514" i="5"/>
  <c r="T1514" i="5" s="1"/>
  <c r="B1515" i="5"/>
  <c r="T1515" i="5" s="1"/>
  <c r="B1516" i="5"/>
  <c r="B1517" i="5"/>
  <c r="B1518" i="5"/>
  <c r="T1518" i="5"/>
  <c r="B1519" i="5"/>
  <c r="B1520" i="5"/>
  <c r="T1520" i="5" s="1"/>
  <c r="B1521" i="5"/>
  <c r="T1521" i="5" s="1"/>
  <c r="B1522" i="5"/>
  <c r="T1522" i="5" s="1"/>
  <c r="B1523" i="5"/>
  <c r="T1523" i="5" s="1"/>
  <c r="B1524" i="5"/>
  <c r="T1524" i="5" s="1"/>
  <c r="B1525" i="5"/>
  <c r="B1526" i="5"/>
  <c r="T1526" i="5" s="1"/>
  <c r="B1527" i="5"/>
  <c r="B1528" i="5"/>
  <c r="AB1528" i="5" s="1"/>
  <c r="B1529" i="5"/>
  <c r="T1529" i="5" s="1"/>
  <c r="B1530" i="5"/>
  <c r="T1530" i="5" s="1"/>
  <c r="B1531" i="5"/>
  <c r="B1532" i="5"/>
  <c r="T1532" i="5" s="1"/>
  <c r="B1533" i="5"/>
  <c r="B1534" i="5"/>
  <c r="T1534" i="5"/>
  <c r="B1535" i="5"/>
  <c r="B1536" i="5"/>
  <c r="B1537" i="5"/>
  <c r="B1538" i="5"/>
  <c r="S1538" i="5" s="1"/>
  <c r="B1539" i="5"/>
  <c r="AB1539" i="5" s="1"/>
  <c r="B1540" i="5"/>
  <c r="T1540" i="5" s="1"/>
  <c r="B1541" i="5"/>
  <c r="T1541" i="5" s="1"/>
  <c r="B1542" i="5"/>
  <c r="T1542" i="5" s="1"/>
  <c r="B1543" i="5"/>
  <c r="T1543" i="5"/>
  <c r="B1544" i="5"/>
  <c r="T1544" i="5"/>
  <c r="B1545" i="5"/>
  <c r="B1546" i="5"/>
  <c r="T1546" i="5" s="1"/>
  <c r="B1547" i="5"/>
  <c r="T1547" i="5" s="1"/>
  <c r="B1548" i="5"/>
  <c r="B1549" i="5"/>
  <c r="T1549" i="5" s="1"/>
  <c r="B1550" i="5"/>
  <c r="T1550" i="5" s="1"/>
  <c r="B1551" i="5"/>
  <c r="S1551" i="5" s="1"/>
  <c r="B1552" i="5"/>
  <c r="B1553" i="5"/>
  <c r="B1554" i="5"/>
  <c r="T1554" i="5" s="1"/>
  <c r="B1555" i="5"/>
  <c r="S1555" i="5" s="1"/>
  <c r="B1556" i="5"/>
  <c r="T1556" i="5" s="1"/>
  <c r="B1557" i="5"/>
  <c r="B1558" i="5"/>
  <c r="T1558" i="5" s="1"/>
  <c r="B1559" i="5"/>
  <c r="T1559" i="5" s="1"/>
  <c r="B1560" i="5"/>
  <c r="B1561" i="5"/>
  <c r="T1561" i="5" s="1"/>
  <c r="B1562" i="5"/>
  <c r="B1563" i="5"/>
  <c r="B1564" i="5"/>
  <c r="T1564" i="5" s="1"/>
  <c r="B1565" i="5"/>
  <c r="B1566" i="5"/>
  <c r="T1566" i="5" s="1"/>
  <c r="B1567" i="5"/>
  <c r="T1567" i="5" s="1"/>
  <c r="B1568" i="5"/>
  <c r="T1568" i="5" s="1"/>
  <c r="B1569" i="5"/>
  <c r="T1569" i="5" s="1"/>
  <c r="B1570" i="5"/>
  <c r="T1570" i="5" s="1"/>
  <c r="B1571" i="5"/>
  <c r="B1572" i="5"/>
  <c r="B1573" i="5"/>
  <c r="T1573" i="5"/>
  <c r="B1574" i="5"/>
  <c r="T1574" i="5" s="1"/>
  <c r="B1575" i="5"/>
  <c r="B1576" i="5"/>
  <c r="B1577" i="5"/>
  <c r="T1577" i="5" s="1"/>
  <c r="B1578" i="5"/>
  <c r="T1578" i="5"/>
  <c r="B1579" i="5"/>
  <c r="T1579" i="5"/>
  <c r="B1580" i="5"/>
  <c r="T1580" i="5" s="1"/>
  <c r="B1581" i="5"/>
  <c r="T1581" i="5" s="1"/>
  <c r="B1582" i="5"/>
  <c r="T1582" i="5" s="1"/>
  <c r="B1583" i="5"/>
  <c r="T1583" i="5" s="1"/>
  <c r="B1584" i="5"/>
  <c r="T1584" i="5" s="1"/>
  <c r="B1585" i="5"/>
  <c r="T1585" i="5"/>
  <c r="B1586" i="5"/>
  <c r="T1586" i="5" s="1"/>
  <c r="B1587" i="5"/>
  <c r="T1587" i="5" s="1"/>
  <c r="B1588" i="5"/>
  <c r="T1588" i="5" s="1"/>
  <c r="B1589" i="5"/>
  <c r="T1589" i="5" s="1"/>
  <c r="B1590" i="5"/>
  <c r="T1590" i="5" s="1"/>
  <c r="B1591" i="5"/>
  <c r="B1592" i="5"/>
  <c r="T1592" i="5" s="1"/>
  <c r="B1593" i="5"/>
  <c r="T1593" i="5"/>
  <c r="B1594" i="5"/>
  <c r="B1595" i="5"/>
  <c r="T1595" i="5" s="1"/>
  <c r="B1596" i="5"/>
  <c r="B1597" i="5"/>
  <c r="T1597" i="5" s="1"/>
  <c r="B1598" i="5"/>
  <c r="T1598" i="5" s="1"/>
  <c r="B1599" i="5"/>
  <c r="T1599" i="5" s="1"/>
  <c r="B1600" i="5"/>
  <c r="T1600" i="5" s="1"/>
  <c r="B1601" i="5"/>
  <c r="T1601" i="5" s="1"/>
  <c r="B1602" i="5"/>
  <c r="T1602" i="5" s="1"/>
  <c r="B1603" i="5"/>
  <c r="B1604" i="5"/>
  <c r="T1604" i="5"/>
  <c r="B1605" i="5"/>
  <c r="T1605" i="5" s="1"/>
  <c r="B1606" i="5"/>
  <c r="T1606" i="5" s="1"/>
  <c r="B1607" i="5"/>
  <c r="T1607" i="5" s="1"/>
  <c r="B1608" i="5"/>
  <c r="T1608" i="5" s="1"/>
  <c r="B1609" i="5"/>
  <c r="T1609" i="5" s="1"/>
  <c r="B1610" i="5"/>
  <c r="B1611" i="5"/>
  <c r="B1612" i="5"/>
  <c r="T1612" i="5" s="1"/>
  <c r="B1613" i="5"/>
  <c r="T1613" i="5" s="1"/>
  <c r="B1614" i="5"/>
  <c r="B1615" i="5"/>
  <c r="AB1615" i="5" s="1"/>
  <c r="B1616" i="5"/>
  <c r="T1616" i="5" s="1"/>
  <c r="B1617" i="5"/>
  <c r="T1617" i="5"/>
  <c r="B1618" i="5"/>
  <c r="T1618" i="5" s="1"/>
  <c r="B1619" i="5"/>
  <c r="T1619" i="5" s="1"/>
  <c r="B1620" i="5"/>
  <c r="T1620" i="5" s="1"/>
  <c r="B1621" i="5"/>
  <c r="T1621" i="5" s="1"/>
  <c r="B1622" i="5"/>
  <c r="B1623" i="5"/>
  <c r="T1623" i="5" s="1"/>
  <c r="B1624" i="5"/>
  <c r="B1625" i="5"/>
  <c r="B1626" i="5"/>
  <c r="AB1626" i="5" s="1"/>
  <c r="B1627" i="5"/>
  <c r="T1627" i="5" s="1"/>
  <c r="B1628" i="5"/>
  <c r="T1628" i="5" s="1"/>
  <c r="B1629" i="5"/>
  <c r="T1629" i="5" s="1"/>
  <c r="B1630" i="5"/>
  <c r="T1630" i="5" s="1"/>
  <c r="B1631" i="5"/>
  <c r="T1631" i="5" s="1"/>
  <c r="B1632" i="5"/>
  <c r="T1632" i="5" s="1"/>
  <c r="B1633" i="5"/>
  <c r="B1634" i="5"/>
  <c r="T1634" i="5" s="1"/>
  <c r="B1635" i="5"/>
  <c r="T1635" i="5" s="1"/>
  <c r="B1636" i="5"/>
  <c r="B1637" i="5"/>
  <c r="T1637" i="5" s="1"/>
  <c r="B1638" i="5"/>
  <c r="AB1638" i="5" s="1"/>
  <c r="B1639" i="5"/>
  <c r="B1640" i="5"/>
  <c r="T1640" i="5" s="1"/>
  <c r="B1641" i="5"/>
  <c r="T1641" i="5" s="1"/>
  <c r="B1642" i="5"/>
  <c r="T1642" i="5" s="1"/>
  <c r="B1643" i="5"/>
  <c r="T1643" i="5" s="1"/>
  <c r="B1644" i="5"/>
  <c r="B1645" i="5"/>
  <c r="T1645" i="5" s="1"/>
  <c r="B1646" i="5"/>
  <c r="T1646" i="5" s="1"/>
  <c r="B1647" i="5"/>
  <c r="T1647" i="5" s="1"/>
  <c r="B1648" i="5"/>
  <c r="AB1648" i="5" s="1"/>
  <c r="B1649" i="5"/>
  <c r="B1650" i="5"/>
  <c r="T1650" i="5" s="1"/>
  <c r="B1651" i="5"/>
  <c r="T1651" i="5" s="1"/>
  <c r="B1652" i="5"/>
  <c r="T1652" i="5" s="1"/>
  <c r="B1653" i="5"/>
  <c r="T1653" i="5" s="1"/>
  <c r="B1654" i="5"/>
  <c r="T1654" i="5" s="1"/>
  <c r="B1655" i="5"/>
  <c r="T1655" i="5" s="1"/>
  <c r="B1656" i="5"/>
  <c r="T1656" i="5" s="1"/>
  <c r="B1657" i="5"/>
  <c r="T1657" i="5" s="1"/>
  <c r="B1658" i="5"/>
  <c r="B1659" i="5"/>
  <c r="T1659" i="5" s="1"/>
  <c r="B1660" i="5"/>
  <c r="S1660" i="5" s="1"/>
  <c r="T1660" i="5"/>
  <c r="B1661" i="5"/>
  <c r="T1661" i="5" s="1"/>
  <c r="B1662" i="5"/>
  <c r="T1662" i="5" s="1"/>
  <c r="B1663" i="5"/>
  <c r="T1663" i="5" s="1"/>
  <c r="B1664" i="5"/>
  <c r="T1664" i="5" s="1"/>
  <c r="B1665" i="5"/>
  <c r="T1665" i="5" s="1"/>
  <c r="B1666" i="5"/>
  <c r="T1666" i="5" s="1"/>
  <c r="B1667" i="5"/>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B1684" i="5"/>
  <c r="T1684" i="5" s="1"/>
  <c r="B1685" i="5"/>
  <c r="T1685" i="5" s="1"/>
  <c r="B1686" i="5"/>
  <c r="T1686" i="5" s="1"/>
  <c r="B1687" i="5"/>
  <c r="T1687" i="5" s="1"/>
  <c r="B1688" i="5"/>
  <c r="B1689" i="5"/>
  <c r="T1689" i="5" s="1"/>
  <c r="B1690" i="5"/>
  <c r="T1690" i="5" s="1"/>
  <c r="B1691" i="5"/>
  <c r="B1692" i="5"/>
  <c r="B1693" i="5"/>
  <c r="T1693" i="5" s="1"/>
  <c r="B1694" i="5"/>
  <c r="T1694" i="5" s="1"/>
  <c r="B1695" i="5"/>
  <c r="S1695" i="5" s="1"/>
  <c r="B1696" i="5"/>
  <c r="B1697" i="5"/>
  <c r="B1698" i="5"/>
  <c r="T1698" i="5" s="1"/>
  <c r="B1699" i="5"/>
  <c r="T1699" i="5" s="1"/>
  <c r="B1700" i="5"/>
  <c r="T1700" i="5" s="1"/>
  <c r="B1701" i="5"/>
  <c r="B1702" i="5"/>
  <c r="T1702" i="5" s="1"/>
  <c r="B1703" i="5"/>
  <c r="B1704" i="5"/>
  <c r="T1704" i="5" s="1"/>
  <c r="B1705" i="5"/>
  <c r="T1705" i="5" s="1"/>
  <c r="B1706" i="5"/>
  <c r="T1706" i="5" s="1"/>
  <c r="B1707" i="5"/>
  <c r="AB1707" i="5" s="1"/>
  <c r="B1708" i="5"/>
  <c r="T1708" i="5" s="1"/>
  <c r="B1709" i="5"/>
  <c r="T1709" i="5" s="1"/>
  <c r="B1710" i="5"/>
  <c r="T1710" i="5" s="1"/>
  <c r="B1711" i="5"/>
  <c r="T1711" i="5" s="1"/>
  <c r="B1712" i="5"/>
  <c r="B1713" i="5"/>
  <c r="T1713" i="5" s="1"/>
  <c r="B1714" i="5"/>
  <c r="T1714" i="5" s="1"/>
  <c r="B1715" i="5"/>
  <c r="B1716" i="5"/>
  <c r="B1717" i="5"/>
  <c r="T1717" i="5" s="1"/>
  <c r="B1718" i="5"/>
  <c r="B1719" i="5"/>
  <c r="B1720" i="5"/>
  <c r="T1720" i="5" s="1"/>
  <c r="B1721" i="5"/>
  <c r="T1721" i="5" s="1"/>
  <c r="B1722" i="5"/>
  <c r="T1722" i="5" s="1"/>
  <c r="B1723" i="5"/>
  <c r="T1723" i="5" s="1"/>
  <c r="B1724" i="5"/>
  <c r="T1724" i="5"/>
  <c r="B1725" i="5"/>
  <c r="T1725" i="5" s="1"/>
  <c r="B1726" i="5"/>
  <c r="B1727" i="5"/>
  <c r="B1728" i="5"/>
  <c r="B1729" i="5"/>
  <c r="T1729" i="5" s="1"/>
  <c r="B1730" i="5"/>
  <c r="S1730" i="5" s="1"/>
  <c r="B1731" i="5"/>
  <c r="T1731" i="5" s="1"/>
  <c r="B1732" i="5"/>
  <c r="T1732" i="5" s="1"/>
  <c r="B1733" i="5"/>
  <c r="T1733" i="5" s="1"/>
  <c r="B1734" i="5"/>
  <c r="T1734" i="5" s="1"/>
  <c r="B1735" i="5"/>
  <c r="T1735" i="5" s="1"/>
  <c r="B1736" i="5"/>
  <c r="T1736" i="5" s="1"/>
  <c r="B1737" i="5"/>
  <c r="B1738" i="5"/>
  <c r="T1738" i="5" s="1"/>
  <c r="B1739" i="5"/>
  <c r="B1740" i="5"/>
  <c r="T1740" i="5" s="1"/>
  <c r="B1741" i="5"/>
  <c r="B1742" i="5"/>
  <c r="AB1742" i="5" s="1"/>
  <c r="B1743" i="5"/>
  <c r="B1744" i="5"/>
  <c r="B1745" i="5"/>
  <c r="B1746" i="5"/>
  <c r="T1746" i="5" s="1"/>
  <c r="B1747" i="5"/>
  <c r="B1748" i="5"/>
  <c r="T1748" i="5" s="1"/>
  <c r="B1749" i="5"/>
  <c r="B1750" i="5"/>
  <c r="T1750" i="5" s="1"/>
  <c r="B1751" i="5"/>
  <c r="T1751" i="5" s="1"/>
  <c r="B1752" i="5"/>
  <c r="T1752" i="5" s="1"/>
  <c r="B1753" i="5"/>
  <c r="T1753" i="5" s="1"/>
  <c r="B1754" i="5"/>
  <c r="B1755" i="5"/>
  <c r="T1755" i="5" s="1"/>
  <c r="B1756" i="5"/>
  <c r="T1756" i="5" s="1"/>
  <c r="B1757" i="5"/>
  <c r="T1757" i="5" s="1"/>
  <c r="B1758" i="5"/>
  <c r="T1758" i="5" s="1"/>
  <c r="B1759" i="5"/>
  <c r="B1760" i="5"/>
  <c r="T1760" i="5"/>
  <c r="B1761" i="5"/>
  <c r="B1762" i="5"/>
  <c r="B1763" i="5"/>
  <c r="B1764" i="5"/>
  <c r="B1765" i="5"/>
  <c r="B1766" i="5"/>
  <c r="T1766" i="5" s="1"/>
  <c r="B1767" i="5"/>
  <c r="T1767" i="5" s="1"/>
  <c r="B1768" i="5"/>
  <c r="T1768" i="5" s="1"/>
  <c r="B1769" i="5"/>
  <c r="T1769" i="5" s="1"/>
  <c r="B1770" i="5"/>
  <c r="T1770" i="5" s="1"/>
  <c r="B1771" i="5"/>
  <c r="T1771" i="5" s="1"/>
  <c r="B1772" i="5"/>
  <c r="B1773" i="5"/>
  <c r="B1774" i="5"/>
  <c r="T1774" i="5" s="1"/>
  <c r="B1775" i="5"/>
  <c r="B1776" i="5"/>
  <c r="B1777" i="5"/>
  <c r="T1777" i="5" s="1"/>
  <c r="B1778" i="5"/>
  <c r="T1778" i="5" s="1"/>
  <c r="B1779" i="5"/>
  <c r="T1779" i="5" s="1"/>
  <c r="B1780" i="5"/>
  <c r="B1781" i="5"/>
  <c r="T1781" i="5" s="1"/>
  <c r="B1782" i="5"/>
  <c r="B1783" i="5"/>
  <c r="T1783" i="5"/>
  <c r="B1784" i="5"/>
  <c r="T1784" i="5" s="1"/>
  <c r="B1785" i="5"/>
  <c r="B1786" i="5"/>
  <c r="B1787" i="5"/>
  <c r="T1787" i="5" s="1"/>
  <c r="B1788" i="5"/>
  <c r="T1788" i="5" s="1"/>
  <c r="B1789" i="5"/>
  <c r="T1789" i="5" s="1"/>
  <c r="B1790" i="5"/>
  <c r="T1790" i="5" s="1"/>
  <c r="B1791" i="5"/>
  <c r="T1791" i="5" s="1"/>
  <c r="B1792" i="5"/>
  <c r="B1793" i="5"/>
  <c r="T1793" i="5" s="1"/>
  <c r="B1794" i="5"/>
  <c r="T1794" i="5"/>
  <c r="B1795" i="5"/>
  <c r="B1796" i="5"/>
  <c r="T1796" i="5" s="1"/>
  <c r="B1797" i="5"/>
  <c r="S1797" i="5" s="1"/>
  <c r="B1798" i="5"/>
  <c r="B1799" i="5"/>
  <c r="T1799" i="5" s="1"/>
  <c r="B1800" i="5"/>
  <c r="T1800" i="5" s="1"/>
  <c r="B1801" i="5"/>
  <c r="T1801" i="5" s="1"/>
  <c r="B1802" i="5"/>
  <c r="B1803" i="5"/>
  <c r="T1803" i="5" s="1"/>
  <c r="B1804" i="5"/>
  <c r="T1804" i="5" s="1"/>
  <c r="B1805" i="5"/>
  <c r="T1805" i="5" s="1"/>
  <c r="B1806" i="5"/>
  <c r="B1807" i="5"/>
  <c r="T1807" i="5" s="1"/>
  <c r="B1808" i="5"/>
  <c r="T1808" i="5" s="1"/>
  <c r="B1809" i="5"/>
  <c r="T1809" i="5" s="1"/>
  <c r="B1810" i="5"/>
  <c r="T1810" i="5" s="1"/>
  <c r="B1811" i="5"/>
  <c r="T1811" i="5" s="1"/>
  <c r="B1812" i="5"/>
  <c r="T1812" i="5" s="1"/>
  <c r="B1813" i="5"/>
  <c r="B1814" i="5"/>
  <c r="B1815" i="5"/>
  <c r="T1815" i="5" s="1"/>
  <c r="B1816" i="5"/>
  <c r="T1816" i="5" s="1"/>
  <c r="B1817" i="5"/>
  <c r="B1818" i="5"/>
  <c r="T1818" i="5" s="1"/>
  <c r="B1819" i="5"/>
  <c r="T1819" i="5" s="1"/>
  <c r="B1820" i="5"/>
  <c r="T1820" i="5" s="1"/>
  <c r="B1821" i="5"/>
  <c r="T1821" i="5" s="1"/>
  <c r="B1822" i="5"/>
  <c r="T1822" i="5" s="1"/>
  <c r="B1823" i="5"/>
  <c r="B1824" i="5"/>
  <c r="S1824" i="5" s="1"/>
  <c r="B1825" i="5"/>
  <c r="T1825" i="5" s="1"/>
  <c r="B1826" i="5"/>
  <c r="T1826" i="5" s="1"/>
  <c r="B1827" i="5"/>
  <c r="T1827" i="5" s="1"/>
  <c r="B1828" i="5"/>
  <c r="B1829" i="5"/>
  <c r="T1829" i="5" s="1"/>
  <c r="B1830" i="5"/>
  <c r="T1830" i="5" s="1"/>
  <c r="B1831" i="5"/>
  <c r="S1831" i="5" s="1"/>
  <c r="T1831" i="5"/>
  <c r="B1832" i="5"/>
  <c r="T1832" i="5" s="1"/>
  <c r="B1833" i="5"/>
  <c r="B1834" i="5"/>
  <c r="T1834" i="5" s="1"/>
  <c r="B1835" i="5"/>
  <c r="B1836" i="5"/>
  <c r="T1836" i="5" s="1"/>
  <c r="B1837" i="5"/>
  <c r="T1837" i="5" s="1"/>
  <c r="B1838" i="5"/>
  <c r="B1839" i="5"/>
  <c r="S1839" i="5" s="1"/>
  <c r="B1840" i="5"/>
  <c r="T1840" i="5" s="1"/>
  <c r="B1841" i="5"/>
  <c r="T1841" i="5" s="1"/>
  <c r="B1842" i="5"/>
  <c r="B1843" i="5"/>
  <c r="B1844" i="5"/>
  <c r="T1844" i="5" s="1"/>
  <c r="B1845" i="5"/>
  <c r="T1845" i="5"/>
  <c r="B1846" i="5"/>
  <c r="B1847" i="5"/>
  <c r="T1847" i="5" s="1"/>
  <c r="B1848" i="5"/>
  <c r="T1848" i="5" s="1"/>
  <c r="B1849" i="5"/>
  <c r="T1849" i="5" s="1"/>
  <c r="B1850" i="5"/>
  <c r="T1850" i="5" s="1"/>
  <c r="B1851" i="5"/>
  <c r="T1851" i="5"/>
  <c r="B1852" i="5"/>
  <c r="T1852" i="5" s="1"/>
  <c r="B1853" i="5"/>
  <c r="T1853" i="5" s="1"/>
  <c r="B1854" i="5"/>
  <c r="T1854" i="5" s="1"/>
  <c r="B1855" i="5"/>
  <c r="T1855" i="5" s="1"/>
  <c r="B1856" i="5"/>
  <c r="B1857" i="5"/>
  <c r="T1857" i="5" s="1"/>
  <c r="B1858" i="5"/>
  <c r="T1858" i="5" s="1"/>
  <c r="B1859" i="5"/>
  <c r="T1859" i="5" s="1"/>
  <c r="B1860" i="5"/>
  <c r="T1860" i="5" s="1"/>
  <c r="B1861" i="5"/>
  <c r="B1862" i="5"/>
  <c r="B1863" i="5"/>
  <c r="T1863" i="5" s="1"/>
  <c r="B1864" i="5"/>
  <c r="T1864" i="5" s="1"/>
  <c r="B1865" i="5"/>
  <c r="T1865" i="5" s="1"/>
  <c r="B1866" i="5"/>
  <c r="T1866" i="5" s="1"/>
  <c r="B1867" i="5"/>
  <c r="B1868" i="5"/>
  <c r="T1868" i="5" s="1"/>
  <c r="B1869" i="5"/>
  <c r="T1869" i="5" s="1"/>
  <c r="B1870" i="5"/>
  <c r="T1870" i="5" s="1"/>
  <c r="B1871" i="5"/>
  <c r="T1871" i="5" s="1"/>
  <c r="B1872" i="5"/>
  <c r="T1872" i="5" s="1"/>
  <c r="B1873" i="5"/>
  <c r="T1873" i="5"/>
  <c r="B1874" i="5"/>
  <c r="T1874" i="5" s="1"/>
  <c r="B1875" i="5"/>
  <c r="B1876" i="5"/>
  <c r="T1876" i="5" s="1"/>
  <c r="B1877" i="5"/>
  <c r="T1877" i="5" s="1"/>
  <c r="B1878" i="5"/>
  <c r="B1879" i="5"/>
  <c r="B1880" i="5"/>
  <c r="B1881" i="5"/>
  <c r="B1882" i="5"/>
  <c r="T1882" i="5" s="1"/>
  <c r="B1883" i="5"/>
  <c r="B1884" i="5"/>
  <c r="T1884" i="5" s="1"/>
  <c r="B1885" i="5"/>
  <c r="B1886" i="5"/>
  <c r="T1886" i="5" s="1"/>
  <c r="B1887" i="5"/>
  <c r="T1887" i="5" s="1"/>
  <c r="B1888" i="5"/>
  <c r="T1888" i="5" s="1"/>
  <c r="B1889" i="5"/>
  <c r="B1890" i="5"/>
  <c r="T1890" i="5" s="1"/>
  <c r="B1891" i="5"/>
  <c r="B1892" i="5"/>
  <c r="T1892" i="5" s="1"/>
  <c r="B1893" i="5"/>
  <c r="B1894" i="5"/>
  <c r="B1895" i="5"/>
  <c r="T1895" i="5" s="1"/>
  <c r="B1896" i="5"/>
  <c r="T1896" i="5" s="1"/>
  <c r="B1897" i="5"/>
  <c r="AB1897" i="5" s="1"/>
  <c r="B1898" i="5"/>
  <c r="T1898" i="5" s="1"/>
  <c r="B1899" i="5"/>
  <c r="T1899" i="5" s="1"/>
  <c r="B1900" i="5"/>
  <c r="T1900" i="5" s="1"/>
  <c r="B1901" i="5"/>
  <c r="T1901" i="5" s="1"/>
  <c r="B1902" i="5"/>
  <c r="T1902" i="5" s="1"/>
  <c r="B1903" i="5"/>
  <c r="B1904" i="5"/>
  <c r="T1904" i="5" s="1"/>
  <c r="B1905" i="5"/>
  <c r="B1906" i="5"/>
  <c r="B1907" i="5"/>
  <c r="T1907" i="5" s="1"/>
  <c r="B1908" i="5"/>
  <c r="T1908" i="5" s="1"/>
  <c r="B1909" i="5"/>
  <c r="B1910" i="5"/>
  <c r="T1910" i="5" s="1"/>
  <c r="B1911" i="5"/>
  <c r="B1912" i="5"/>
  <c r="T1912" i="5" s="1"/>
  <c r="B1913" i="5"/>
  <c r="T1913" i="5" s="1"/>
  <c r="B1914" i="5"/>
  <c r="B1915" i="5"/>
  <c r="B1916" i="5"/>
  <c r="T1916" i="5" s="1"/>
  <c r="B1917" i="5"/>
  <c r="T1917" i="5" s="1"/>
  <c r="B1918" i="5"/>
  <c r="B1919" i="5"/>
  <c r="B1920" i="5"/>
  <c r="T1920" i="5" s="1"/>
  <c r="B1921" i="5"/>
  <c r="T1921" i="5" s="1"/>
  <c r="B1922" i="5"/>
  <c r="T1922" i="5" s="1"/>
  <c r="B1923" i="5"/>
  <c r="T1923" i="5" s="1"/>
  <c r="B1924" i="5"/>
  <c r="T1924" i="5" s="1"/>
  <c r="B1925" i="5"/>
  <c r="T1925" i="5" s="1"/>
  <c r="B1926" i="5"/>
  <c r="T1926" i="5" s="1"/>
  <c r="B1927" i="5"/>
  <c r="B1928" i="5"/>
  <c r="S1928" i="5" s="1"/>
  <c r="B1929" i="5"/>
  <c r="T1929" i="5" s="1"/>
  <c r="B1930" i="5"/>
  <c r="T1930" i="5" s="1"/>
  <c r="B1931" i="5"/>
  <c r="B1932" i="5"/>
  <c r="T1932" i="5" s="1"/>
  <c r="B1933" i="5"/>
  <c r="T1933" i="5" s="1"/>
  <c r="B1934" i="5"/>
  <c r="T1934" i="5" s="1"/>
  <c r="B1935" i="5"/>
  <c r="T1935" i="5" s="1"/>
  <c r="B1936" i="5"/>
  <c r="T1936" i="5" s="1"/>
  <c r="B1937" i="5"/>
  <c r="T1937" i="5" s="1"/>
  <c r="B1938" i="5"/>
  <c r="B1939" i="5"/>
  <c r="B1940" i="5"/>
  <c r="B1941" i="5"/>
  <c r="T1941" i="5" s="1"/>
  <c r="B1942" i="5"/>
  <c r="B1943" i="5"/>
  <c r="T1943" i="5" s="1"/>
  <c r="B1944" i="5"/>
  <c r="B1945" i="5"/>
  <c r="T1945" i="5" s="1"/>
  <c r="B1946" i="5"/>
  <c r="T1946" i="5" s="1"/>
  <c r="B1947" i="5"/>
  <c r="T1947" i="5" s="1"/>
  <c r="B1948" i="5"/>
  <c r="T1948" i="5" s="1"/>
  <c r="B1949" i="5"/>
  <c r="T1949" i="5" s="1"/>
  <c r="B1950" i="5"/>
  <c r="T1950" i="5" s="1"/>
  <c r="B1951" i="5"/>
  <c r="S1951" i="5" s="1"/>
  <c r="B1952" i="5"/>
  <c r="T1952" i="5" s="1"/>
  <c r="B1953" i="5"/>
  <c r="S1953" i="5" s="1"/>
  <c r="T1953" i="5"/>
  <c r="B1954" i="5"/>
  <c r="B1955" i="5"/>
  <c r="B1956" i="5"/>
  <c r="T1956" i="5" s="1"/>
  <c r="B1957" i="5"/>
  <c r="T1957" i="5" s="1"/>
  <c r="B1958" i="5"/>
  <c r="T1958" i="5" s="1"/>
  <c r="B1959" i="5"/>
  <c r="T1959" i="5" s="1"/>
  <c r="B1960" i="5"/>
  <c r="B1961" i="5"/>
  <c r="B1962" i="5"/>
  <c r="AB1962" i="5" s="1"/>
  <c r="B1963" i="5"/>
  <c r="B1964" i="5"/>
  <c r="B1965" i="5"/>
  <c r="T1965" i="5" s="1"/>
  <c r="B1966" i="5"/>
  <c r="T1966" i="5" s="1"/>
  <c r="B1967" i="5"/>
  <c r="B1968" i="5"/>
  <c r="T1968" i="5" s="1"/>
  <c r="B1969" i="5"/>
  <c r="T1969" i="5" s="1"/>
  <c r="B1970" i="5"/>
  <c r="B1971" i="5"/>
  <c r="T1971" i="5" s="1"/>
  <c r="B1972" i="5"/>
  <c r="T1972" i="5" s="1"/>
  <c r="B1973" i="5"/>
  <c r="B1974" i="5"/>
  <c r="B1975" i="5"/>
  <c r="B1976" i="5"/>
  <c r="B1977" i="5"/>
  <c r="T1977" i="5" s="1"/>
  <c r="B1978" i="5"/>
  <c r="T1978" i="5" s="1"/>
  <c r="B1979" i="5"/>
  <c r="T1979" i="5" s="1"/>
  <c r="B1980" i="5"/>
  <c r="B1981" i="5"/>
  <c r="T1981" i="5"/>
  <c r="B1982" i="5"/>
  <c r="S1982" i="5" s="1"/>
  <c r="B1983" i="5"/>
  <c r="B1984" i="5"/>
  <c r="S1984" i="5" s="1"/>
  <c r="B1985" i="5"/>
  <c r="S1985" i="5" s="1"/>
  <c r="B1986" i="5"/>
  <c r="B1987" i="5"/>
  <c r="T1987" i="5" s="1"/>
  <c r="B1988" i="5"/>
  <c r="T1988" i="5" s="1"/>
  <c r="B1989" i="5"/>
  <c r="B1990" i="5"/>
  <c r="B1991" i="5"/>
  <c r="T1991" i="5" s="1"/>
  <c r="B1992" i="5"/>
  <c r="T1992" i="5" s="1"/>
  <c r="B1993" i="5"/>
  <c r="B1994" i="5"/>
  <c r="B1995" i="5"/>
  <c r="B1996" i="5"/>
  <c r="T1996" i="5" s="1"/>
  <c r="B1997" i="5"/>
  <c r="B1998" i="5"/>
  <c r="T1998" i="5" s="1"/>
  <c r="B1999" i="5"/>
  <c r="T1999" i="5" s="1"/>
  <c r="B2000" i="5"/>
  <c r="T2000" i="5" s="1"/>
  <c r="B2001" i="5"/>
  <c r="T2001" i="5" s="1"/>
  <c r="B2002" i="5"/>
  <c r="T2002" i="5" s="1"/>
  <c r="B2003" i="5"/>
  <c r="T2003" i="5" s="1"/>
  <c r="B2004" i="5"/>
  <c r="B2005" i="5"/>
  <c r="T2005" i="5" s="1"/>
  <c r="B2006" i="5"/>
  <c r="T2006" i="5" s="1"/>
  <c r="B2007" i="5"/>
  <c r="B2008" i="5"/>
  <c r="B2009" i="5"/>
  <c r="T2009" i="5" s="1"/>
  <c r="B2010" i="5"/>
  <c r="T2010" i="5"/>
  <c r="B2011" i="5"/>
  <c r="T2011" i="5" s="1"/>
  <c r="B2012" i="5"/>
  <c r="T2012" i="5" s="1"/>
  <c r="B2013" i="5"/>
  <c r="T2013" i="5" s="1"/>
  <c r="B2014" i="5"/>
  <c r="T2014" i="5" s="1"/>
  <c r="B2015" i="5"/>
  <c r="B2016" i="5"/>
  <c r="T2016" i="5" s="1"/>
  <c r="B2017" i="5"/>
  <c r="T2017" i="5" s="1"/>
  <c r="B2018" i="5"/>
  <c r="T2018" i="5" s="1"/>
  <c r="B2019" i="5"/>
  <c r="B2020" i="5"/>
  <c r="T2020" i="5" s="1"/>
  <c r="B2021" i="5"/>
  <c r="T2021" i="5" s="1"/>
  <c r="B2022" i="5"/>
  <c r="B2023" i="5"/>
  <c r="B2024" i="5"/>
  <c r="T2024" i="5" s="1"/>
  <c r="B2025" i="5"/>
  <c r="T2025" i="5" s="1"/>
  <c r="B2026" i="5"/>
  <c r="T2026" i="5" s="1"/>
  <c r="B2027" i="5"/>
  <c r="T2027" i="5" s="1"/>
  <c r="B2028" i="5"/>
  <c r="T2028" i="5"/>
  <c r="B2029" i="5"/>
  <c r="B2030" i="5"/>
  <c r="B2031" i="5"/>
  <c r="T2031" i="5" s="1"/>
  <c r="B2032" i="5"/>
  <c r="T2032" i="5" s="1"/>
  <c r="B2033" i="5"/>
  <c r="B2034" i="5"/>
  <c r="B2035" i="5"/>
  <c r="B2036" i="5"/>
  <c r="T2036" i="5" s="1"/>
  <c r="B2037" i="5"/>
  <c r="T2037" i="5" s="1"/>
  <c r="B2038" i="5"/>
  <c r="T2038" i="5" s="1"/>
  <c r="B2039" i="5"/>
  <c r="T2039" i="5" s="1"/>
  <c r="B2040" i="5"/>
  <c r="B2041" i="5"/>
  <c r="T2041" i="5" s="1"/>
  <c r="B2042" i="5"/>
  <c r="B2043" i="5"/>
  <c r="T2043" i="5" s="1"/>
  <c r="B2044" i="5"/>
  <c r="B2045" i="5"/>
  <c r="B2046" i="5"/>
  <c r="T2046" i="5" s="1"/>
  <c r="B2047" i="5"/>
  <c r="T2047" i="5" s="1"/>
  <c r="B2048" i="5"/>
  <c r="B2049" i="5"/>
  <c r="T2049" i="5" s="1"/>
  <c r="B2050" i="5"/>
  <c r="T2050" i="5" s="1"/>
  <c r="B2051" i="5"/>
  <c r="T2051" i="5" s="1"/>
  <c r="B2052" i="5"/>
  <c r="B2053" i="5"/>
  <c r="B2054" i="5"/>
  <c r="B2055" i="5"/>
  <c r="T2055" i="5" s="1"/>
  <c r="B2056" i="5"/>
  <c r="B2057" i="5"/>
  <c r="T2057" i="5" s="1"/>
  <c r="B2058" i="5"/>
  <c r="T2058" i="5" s="1"/>
  <c r="B2059" i="5"/>
  <c r="T2059" i="5" s="1"/>
  <c r="B2060" i="5"/>
  <c r="T2060" i="5" s="1"/>
  <c r="B2061" i="5"/>
  <c r="T2061" i="5" s="1"/>
  <c r="B2062" i="5"/>
  <c r="B2063" i="5"/>
  <c r="B2064" i="5"/>
  <c r="B2065" i="5"/>
  <c r="T2065" i="5"/>
  <c r="B2066" i="5"/>
  <c r="T2066" i="5" s="1"/>
  <c r="B2067" i="5"/>
  <c r="B2068" i="5"/>
  <c r="T2068" i="5" s="1"/>
  <c r="B2069" i="5"/>
  <c r="T2069" i="5" s="1"/>
  <c r="B2070" i="5"/>
  <c r="T2070" i="5" s="1"/>
  <c r="B2071" i="5"/>
  <c r="T2071" i="5"/>
  <c r="B2072" i="5"/>
  <c r="B2073" i="5"/>
  <c r="T2073" i="5" s="1"/>
  <c r="B2074" i="5"/>
  <c r="B2075" i="5"/>
  <c r="T2075" i="5" s="1"/>
  <c r="B2076" i="5"/>
  <c r="B2077" i="5"/>
  <c r="T2077" i="5" s="1"/>
  <c r="B2078" i="5"/>
  <c r="T2078" i="5"/>
  <c r="B2079" i="5"/>
  <c r="B2080" i="5"/>
  <c r="T2080" i="5" s="1"/>
  <c r="B2081" i="5"/>
  <c r="T2081" i="5" s="1"/>
  <c r="B2082" i="5"/>
  <c r="B2083" i="5"/>
  <c r="T2083" i="5" s="1"/>
  <c r="B2084" i="5"/>
  <c r="T2084" i="5" s="1"/>
  <c r="B2085" i="5"/>
  <c r="T2085" i="5" s="1"/>
  <c r="B2086" i="5"/>
  <c r="T2086" i="5" s="1"/>
  <c r="B2087" i="5"/>
  <c r="T2087" i="5" s="1"/>
  <c r="B2088" i="5"/>
  <c r="T2088" i="5"/>
  <c r="B2089" i="5"/>
  <c r="T2089" i="5" s="1"/>
  <c r="B2090" i="5"/>
  <c r="B2091" i="5"/>
  <c r="S2091" i="5" s="1"/>
  <c r="T2091" i="5"/>
  <c r="B2092" i="5"/>
  <c r="B2093" i="5"/>
  <c r="T2093" i="5" s="1"/>
  <c r="B2094" i="5"/>
  <c r="T2094" i="5" s="1"/>
  <c r="B2095" i="5"/>
  <c r="T2095" i="5"/>
  <c r="B2096" i="5"/>
  <c r="B2097" i="5"/>
  <c r="T2097" i="5" s="1"/>
  <c r="B2098" i="5"/>
  <c r="T2098" i="5" s="1"/>
  <c r="B2099" i="5"/>
  <c r="T2099" i="5" s="1"/>
  <c r="B2100" i="5"/>
  <c r="T2100" i="5" s="1"/>
  <c r="B2101" i="5"/>
  <c r="T2101" i="5" s="1"/>
  <c r="B2102" i="5"/>
  <c r="T2102" i="5" s="1"/>
  <c r="B2103" i="5"/>
  <c r="B2104" i="5"/>
  <c r="T2104" i="5" s="1"/>
  <c r="B2105" i="5"/>
  <c r="T2105" i="5" s="1"/>
  <c r="B2106" i="5"/>
  <c r="T2106" i="5" s="1"/>
  <c r="B2107" i="5"/>
  <c r="B2108" i="5"/>
  <c r="T2108" i="5" s="1"/>
  <c r="B2109" i="5"/>
  <c r="T2109" i="5" s="1"/>
  <c r="B2110" i="5"/>
  <c r="T2110" i="5" s="1"/>
  <c r="B2111" i="5"/>
  <c r="T2111" i="5" s="1"/>
  <c r="B2112" i="5"/>
  <c r="S2112" i="5" s="1"/>
  <c r="T2112" i="5"/>
  <c r="B2113" i="5"/>
  <c r="B2114" i="5"/>
  <c r="T2114" i="5" s="1"/>
  <c r="B2115" i="5"/>
  <c r="T2115" i="5" s="1"/>
  <c r="B2116" i="5"/>
  <c r="T2116" i="5"/>
  <c r="B2117" i="5"/>
  <c r="T2117" i="5" s="1"/>
  <c r="B2118" i="5"/>
  <c r="T2118" i="5" s="1"/>
  <c r="B2119" i="5"/>
  <c r="T2119" i="5" s="1"/>
  <c r="B2120" i="5"/>
  <c r="T2120" i="5" s="1"/>
  <c r="B2121" i="5"/>
  <c r="B2122" i="5"/>
  <c r="T2122" i="5" s="1"/>
  <c r="B2123" i="5"/>
  <c r="T2123" i="5" s="1"/>
  <c r="B2124" i="5"/>
  <c r="T2124" i="5" s="1"/>
  <c r="B2125" i="5"/>
  <c r="B2126" i="5"/>
  <c r="T2126" i="5" s="1"/>
  <c r="B2127" i="5"/>
  <c r="B2128" i="5"/>
  <c r="T2128" i="5" s="1"/>
  <c r="B2129" i="5"/>
  <c r="T2129" i="5" s="1"/>
  <c r="B2130" i="5"/>
  <c r="T2130" i="5"/>
  <c r="B2131" i="5"/>
  <c r="S2131" i="5" s="1"/>
  <c r="T2131" i="5"/>
  <c r="B2132" i="5"/>
  <c r="T2132" i="5" s="1"/>
  <c r="B2133" i="5"/>
  <c r="T2133" i="5" s="1"/>
  <c r="B2134" i="5"/>
  <c r="B2135" i="5"/>
  <c r="T2135" i="5" s="1"/>
  <c r="B2136" i="5"/>
  <c r="B2137" i="5"/>
  <c r="T2137" i="5" s="1"/>
  <c r="B2138" i="5"/>
  <c r="T2138" i="5" s="1"/>
  <c r="B2139" i="5"/>
  <c r="T2139" i="5" s="1"/>
  <c r="B2140" i="5"/>
  <c r="B2141" i="5"/>
  <c r="T2141" i="5" s="1"/>
  <c r="B2142" i="5"/>
  <c r="T2142" i="5" s="1"/>
  <c r="B2143" i="5"/>
  <c r="T2143" i="5" s="1"/>
  <c r="B2144" i="5"/>
  <c r="B2145" i="5"/>
  <c r="T2145" i="5" s="1"/>
  <c r="B2146" i="5"/>
  <c r="B2147" i="5"/>
  <c r="T2147" i="5" s="1"/>
  <c r="B2148" i="5"/>
  <c r="T2148" i="5"/>
  <c r="B2149" i="5"/>
  <c r="B2150" i="5"/>
  <c r="T2150" i="5" s="1"/>
  <c r="B2151" i="5"/>
  <c r="B2152" i="5"/>
  <c r="B2153" i="5"/>
  <c r="B2154" i="5"/>
  <c r="T2154" i="5" s="1"/>
  <c r="B2155" i="5"/>
  <c r="B2156" i="5"/>
  <c r="T2156" i="5" s="1"/>
  <c r="B2157" i="5"/>
  <c r="T2157" i="5" s="1"/>
  <c r="B2158" i="5"/>
  <c r="T2158" i="5" s="1"/>
  <c r="B2159" i="5"/>
  <c r="T2159" i="5" s="1"/>
  <c r="B2160" i="5"/>
  <c r="T2160" i="5" s="1"/>
  <c r="B2161" i="5"/>
  <c r="T2161" i="5" s="1"/>
  <c r="B2162" i="5"/>
  <c r="T2162" i="5" s="1"/>
  <c r="B2163" i="5"/>
  <c r="T2163" i="5" s="1"/>
  <c r="B2164" i="5"/>
  <c r="B2165" i="5"/>
  <c r="B2166" i="5"/>
  <c r="T2166" i="5" s="1"/>
  <c r="B2167" i="5"/>
  <c r="T2167" i="5" s="1"/>
  <c r="B2168" i="5"/>
  <c r="B2169" i="5"/>
  <c r="T2169" i="5" s="1"/>
  <c r="B2170" i="5"/>
  <c r="T2170" i="5" s="1"/>
  <c r="B2171" i="5"/>
  <c r="T2171" i="5" s="1"/>
  <c r="B2172" i="5"/>
  <c r="T2172" i="5" s="1"/>
  <c r="B2173" i="5"/>
  <c r="T2173" i="5" s="1"/>
  <c r="B2174" i="5"/>
  <c r="T2174" i="5" s="1"/>
  <c r="B2175" i="5"/>
  <c r="T2175" i="5" s="1"/>
  <c r="B2176" i="5"/>
  <c r="T2176" i="5" s="1"/>
  <c r="B2177" i="5"/>
  <c r="B2178" i="5"/>
  <c r="B2179" i="5"/>
  <c r="T2179" i="5" s="1"/>
  <c r="B2180" i="5"/>
  <c r="T2180" i="5" s="1"/>
  <c r="B2181" i="5"/>
  <c r="B2182" i="5"/>
  <c r="T2182" i="5" s="1"/>
  <c r="B2183" i="5"/>
  <c r="T2183" i="5" s="1"/>
  <c r="B2184" i="5"/>
  <c r="T2184" i="5" s="1"/>
  <c r="B2185" i="5"/>
  <c r="T2185" i="5" s="1"/>
  <c r="B2186" i="5"/>
  <c r="T2186" i="5"/>
  <c r="B2187" i="5"/>
  <c r="B2188" i="5"/>
  <c r="T2188" i="5" s="1"/>
  <c r="B2189" i="5"/>
  <c r="B2190" i="5"/>
  <c r="T2190" i="5" s="1"/>
  <c r="B2191" i="5"/>
  <c r="T2191" i="5" s="1"/>
  <c r="B2192" i="5"/>
  <c r="T2192" i="5" s="1"/>
  <c r="B2193" i="5"/>
  <c r="T2193" i="5" s="1"/>
  <c r="B2194" i="5"/>
  <c r="T2194" i="5" s="1"/>
  <c r="B2195" i="5"/>
  <c r="T2195" i="5" s="1"/>
  <c r="B2196" i="5"/>
  <c r="B2197" i="5"/>
  <c r="B2198" i="5"/>
  <c r="B2199" i="5"/>
  <c r="T2199" i="5" s="1"/>
  <c r="B2200" i="5"/>
  <c r="T2200" i="5" s="1"/>
  <c r="B2201" i="5"/>
  <c r="T2201" i="5" s="1"/>
  <c r="B2202" i="5"/>
  <c r="T2202" i="5" s="1"/>
  <c r="B2203" i="5"/>
  <c r="T2203" i="5" s="1"/>
  <c r="B2204" i="5"/>
  <c r="T2204" i="5" s="1"/>
  <c r="B2205" i="5"/>
  <c r="T2205" i="5" s="1"/>
  <c r="B2206" i="5"/>
  <c r="T2206" i="5" s="1"/>
  <c r="B2207" i="5"/>
  <c r="T2207" i="5" s="1"/>
  <c r="B2208" i="5"/>
  <c r="B2209" i="5"/>
  <c r="T2209" i="5" s="1"/>
  <c r="B2210" i="5"/>
  <c r="T2210" i="5" s="1"/>
  <c r="B2211" i="5"/>
  <c r="S2211" i="5" s="1"/>
  <c r="B2212" i="5"/>
  <c r="T2212" i="5" s="1"/>
  <c r="B2213" i="5"/>
  <c r="T2213" i="5" s="1"/>
  <c r="B2214" i="5"/>
  <c r="T2214" i="5" s="1"/>
  <c r="B2215" i="5"/>
  <c r="T2215" i="5" s="1"/>
  <c r="B2216" i="5"/>
  <c r="T2216" i="5" s="1"/>
  <c r="B2217" i="5"/>
  <c r="T2217" i="5"/>
  <c r="B2218" i="5"/>
  <c r="T2218" i="5" s="1"/>
  <c r="B2219" i="5"/>
  <c r="B2220" i="5"/>
  <c r="B2221" i="5"/>
  <c r="B2222" i="5"/>
  <c r="AB2222" i="5" s="1"/>
  <c r="B2223" i="5"/>
  <c r="T2223" i="5" s="1"/>
  <c r="B2224" i="5"/>
  <c r="T2224" i="5" s="1"/>
  <c r="B2225" i="5"/>
  <c r="B2226" i="5"/>
  <c r="T2226" i="5" s="1"/>
  <c r="B2227" i="5"/>
  <c r="T2227" i="5" s="1"/>
  <c r="B2228" i="5"/>
  <c r="T2228" i="5" s="1"/>
  <c r="B2229" i="5"/>
  <c r="B2230" i="5"/>
  <c r="B2231" i="5"/>
  <c r="T2231" i="5" s="1"/>
  <c r="B2232" i="5"/>
  <c r="B2233" i="5"/>
  <c r="T2233" i="5"/>
  <c r="B2234" i="5"/>
  <c r="T2234" i="5" s="1"/>
  <c r="B2235" i="5"/>
  <c r="B2236" i="5"/>
  <c r="T2236" i="5" s="1"/>
  <c r="B2237" i="5"/>
  <c r="T2237" i="5" s="1"/>
  <c r="B2238" i="5"/>
  <c r="T2238" i="5" s="1"/>
  <c r="B2239" i="5"/>
  <c r="T2239" i="5" s="1"/>
  <c r="B2240" i="5"/>
  <c r="T2240" i="5" s="1"/>
  <c r="B2241" i="5"/>
  <c r="T2241" i="5" s="1"/>
  <c r="B2242" i="5"/>
  <c r="T2242" i="5" s="1"/>
  <c r="B2243" i="5"/>
  <c r="B2244" i="5"/>
  <c r="T2244" i="5" s="1"/>
  <c r="B2245" i="5"/>
  <c r="T2245" i="5" s="1"/>
  <c r="B2246" i="5"/>
  <c r="T2246" i="5"/>
  <c r="B2247" i="5"/>
  <c r="T2247" i="5" s="1"/>
  <c r="B2248" i="5"/>
  <c r="B2249" i="5"/>
  <c r="T2249" i="5" s="1"/>
  <c r="B2250" i="5"/>
  <c r="T2250" i="5" s="1"/>
  <c r="B2251" i="5"/>
  <c r="B2252" i="5"/>
  <c r="T2252" i="5" s="1"/>
  <c r="B2253" i="5"/>
  <c r="B2254" i="5"/>
  <c r="B2255" i="5"/>
  <c r="T2255" i="5" s="1"/>
  <c r="B2256" i="5"/>
  <c r="S2256" i="5" s="1"/>
  <c r="B2257" i="5"/>
  <c r="T2257" i="5"/>
  <c r="B2258" i="5"/>
  <c r="T2258" i="5" s="1"/>
  <c r="B2259" i="5"/>
  <c r="T2259" i="5" s="1"/>
  <c r="B2260" i="5"/>
  <c r="T2260" i="5" s="1"/>
  <c r="B2261" i="5"/>
  <c r="B2262" i="5"/>
  <c r="B2263" i="5"/>
  <c r="T2263" i="5" s="1"/>
  <c r="B2264" i="5"/>
  <c r="T2264" i="5" s="1"/>
  <c r="B2265" i="5"/>
  <c r="T2265" i="5" s="1"/>
  <c r="B2266" i="5"/>
  <c r="B2267" i="5"/>
  <c r="T2267" i="5" s="1"/>
  <c r="B2268" i="5"/>
  <c r="T2268" i="5" s="1"/>
  <c r="B2269" i="5"/>
  <c r="T2269" i="5" s="1"/>
  <c r="B2270" i="5"/>
  <c r="T2270" i="5" s="1"/>
  <c r="B2271" i="5"/>
  <c r="T2271" i="5" s="1"/>
  <c r="B2272" i="5"/>
  <c r="B2273" i="5"/>
  <c r="T2273" i="5" s="1"/>
  <c r="B2274" i="5"/>
  <c r="T2274" i="5" s="1"/>
  <c r="B2275" i="5"/>
  <c r="T2275" i="5" s="1"/>
  <c r="B2276" i="5"/>
  <c r="T2276" i="5" s="1"/>
  <c r="B2277" i="5"/>
  <c r="B2278" i="5"/>
  <c r="T2278" i="5" s="1"/>
  <c r="B2279" i="5"/>
  <c r="T2279" i="5" s="1"/>
  <c r="B2280" i="5"/>
  <c r="T2280" i="5" s="1"/>
  <c r="B2281" i="5"/>
  <c r="T2281" i="5" s="1"/>
  <c r="B2282" i="5"/>
  <c r="B2283" i="5"/>
  <c r="T2283" i="5" s="1"/>
  <c r="B2284" i="5"/>
  <c r="T2284" i="5" s="1"/>
  <c r="B2285" i="5"/>
  <c r="B2286" i="5"/>
  <c r="T2286" i="5" s="1"/>
  <c r="B2287" i="5"/>
  <c r="T2287" i="5" s="1"/>
  <c r="B2288" i="5"/>
  <c r="T2288" i="5" s="1"/>
  <c r="B2289" i="5"/>
  <c r="T2289" i="5" s="1"/>
  <c r="B2290" i="5"/>
  <c r="T2290" i="5" s="1"/>
  <c r="B2291" i="5"/>
  <c r="T2291" i="5" s="1"/>
  <c r="B2292" i="5"/>
  <c r="T2292" i="5" s="1"/>
  <c r="B2293" i="5"/>
  <c r="B2294" i="5"/>
  <c r="T2294" i="5" s="1"/>
  <c r="B2295" i="5"/>
  <c r="T2295" i="5" s="1"/>
  <c r="B2296" i="5"/>
  <c r="B2297" i="5"/>
  <c r="B2298" i="5"/>
  <c r="AB2298" i="5" s="1"/>
  <c r="B2299" i="5"/>
  <c r="T2299" i="5" s="1"/>
  <c r="B2300" i="5"/>
  <c r="T2300" i="5" s="1"/>
  <c r="B2301" i="5"/>
  <c r="T2301" i="5" s="1"/>
  <c r="B2302" i="5"/>
  <c r="T2302" i="5" s="1"/>
  <c r="B2303" i="5"/>
  <c r="T2303" i="5" s="1"/>
  <c r="B2304" i="5"/>
  <c r="T2304" i="5"/>
  <c r="B2305" i="5"/>
  <c r="B2306" i="5"/>
  <c r="T2306" i="5"/>
  <c r="B2307" i="5"/>
  <c r="T2307" i="5" s="1"/>
  <c r="B2308" i="5"/>
  <c r="B2309" i="5"/>
  <c r="T2309" i="5" s="1"/>
  <c r="B2310" i="5"/>
  <c r="T2310" i="5" s="1"/>
  <c r="B2311" i="5"/>
  <c r="T2311" i="5"/>
  <c r="B2312" i="5"/>
  <c r="T2312" i="5" s="1"/>
  <c r="B2313" i="5"/>
  <c r="S2313" i="5" s="1"/>
  <c r="B2314" i="5"/>
  <c r="B2315" i="5"/>
  <c r="T2315" i="5" s="1"/>
  <c r="B2316" i="5"/>
  <c r="T2316" i="5"/>
  <c r="B2317" i="5"/>
  <c r="B2318" i="5"/>
  <c r="B2319" i="5"/>
  <c r="T2319" i="5" s="1"/>
  <c r="B2320" i="5"/>
  <c r="T2320" i="5"/>
  <c r="B2321" i="5"/>
  <c r="B2322" i="5"/>
  <c r="B2323" i="5"/>
  <c r="T2323" i="5"/>
  <c r="B2324" i="5"/>
  <c r="T2324" i="5" s="1"/>
  <c r="B2325" i="5"/>
  <c r="B2326" i="5"/>
  <c r="T2326" i="5" s="1"/>
  <c r="B2327" i="5"/>
  <c r="T2327" i="5" s="1"/>
  <c r="B2328" i="5"/>
  <c r="T2328" i="5" s="1"/>
  <c r="B2329" i="5"/>
  <c r="B2330" i="5"/>
  <c r="T2330" i="5" s="1"/>
  <c r="B2331" i="5"/>
  <c r="S2331" i="5" s="1"/>
  <c r="B2332" i="5"/>
  <c r="B2333" i="5"/>
  <c r="T2333" i="5" s="1"/>
  <c r="B2334" i="5"/>
  <c r="T2334" i="5" s="1"/>
  <c r="B2335" i="5"/>
  <c r="B2336" i="5"/>
  <c r="T2336" i="5" s="1"/>
  <c r="B2337" i="5"/>
  <c r="B2338" i="5"/>
  <c r="T2338" i="5" s="1"/>
  <c r="B2339" i="5"/>
  <c r="T2339" i="5" s="1"/>
  <c r="B2340" i="5"/>
  <c r="T2340" i="5" s="1"/>
  <c r="B2341" i="5"/>
  <c r="T2341" i="5" s="1"/>
  <c r="B2342" i="5"/>
  <c r="T2342" i="5" s="1"/>
  <c r="B2343" i="5"/>
  <c r="T2343" i="5" s="1"/>
  <c r="B2344" i="5"/>
  <c r="B2345" i="5"/>
  <c r="T2345" i="5" s="1"/>
  <c r="B2346" i="5"/>
  <c r="T2346" i="5" s="1"/>
  <c r="B2347" i="5"/>
  <c r="T2347" i="5" s="1"/>
  <c r="B2348" i="5"/>
  <c r="T2348" i="5" s="1"/>
  <c r="B2349" i="5"/>
  <c r="B2350" i="5"/>
  <c r="B2351" i="5"/>
  <c r="B2352" i="5"/>
  <c r="T2352" i="5" s="1"/>
  <c r="B2353" i="5"/>
  <c r="T2353" i="5" s="1"/>
  <c r="B2354" i="5"/>
  <c r="T2354" i="5" s="1"/>
  <c r="B2355" i="5"/>
  <c r="T2355" i="5" s="1"/>
  <c r="B2356" i="5"/>
  <c r="B2357" i="5"/>
  <c r="T2357" i="5" s="1"/>
  <c r="B2358" i="5"/>
  <c r="T2358" i="5" s="1"/>
  <c r="B2359" i="5"/>
  <c r="T2359" i="5" s="1"/>
  <c r="B2360" i="5"/>
  <c r="T2360" i="5" s="1"/>
  <c r="B2361" i="5"/>
  <c r="B2362" i="5"/>
  <c r="B2363" i="5"/>
  <c r="T2363" i="5" s="1"/>
  <c r="B2364" i="5"/>
  <c r="T2364" i="5" s="1"/>
  <c r="B2365" i="5"/>
  <c r="S2365" i="5" s="1"/>
  <c r="B2366" i="5"/>
  <c r="T2366" i="5" s="1"/>
  <c r="B2367" i="5"/>
  <c r="T2367" i="5" s="1"/>
  <c r="B2368" i="5"/>
  <c r="T2368" i="5" s="1"/>
  <c r="B2369" i="5"/>
  <c r="B2370" i="5"/>
  <c r="B2371" i="5"/>
  <c r="AB2371" i="5" s="1"/>
  <c r="B2372" i="5"/>
  <c r="T2372" i="5" s="1"/>
  <c r="B2373" i="5"/>
  <c r="B2374" i="5"/>
  <c r="T2374" i="5" s="1"/>
  <c r="B2375" i="5"/>
  <c r="T2375" i="5" s="1"/>
  <c r="B2376" i="5"/>
  <c r="T2376" i="5" s="1"/>
  <c r="B2377" i="5"/>
  <c r="T2377" i="5" s="1"/>
  <c r="B2378" i="5"/>
  <c r="T2378" i="5" s="1"/>
  <c r="B2379" i="5"/>
  <c r="B2380" i="5"/>
  <c r="B2381" i="5"/>
  <c r="B2382" i="5"/>
  <c r="T2382" i="5" s="1"/>
  <c r="B2383" i="5"/>
  <c r="T2383" i="5" s="1"/>
  <c r="B2384" i="5"/>
  <c r="T2384" i="5" s="1"/>
  <c r="B2385" i="5"/>
  <c r="T2385" i="5" s="1"/>
  <c r="B2386" i="5"/>
  <c r="T2386" i="5" s="1"/>
  <c r="B2387" i="5"/>
  <c r="B2388" i="5"/>
  <c r="T2388" i="5" s="1"/>
  <c r="B2389" i="5"/>
  <c r="T2389" i="5" s="1"/>
  <c r="B2390" i="5"/>
  <c r="B2391" i="5"/>
  <c r="B2392" i="5"/>
  <c r="B2393" i="5"/>
  <c r="T2393" i="5" s="1"/>
  <c r="B2394" i="5"/>
  <c r="T2394" i="5" s="1"/>
  <c r="B2395" i="5"/>
  <c r="T2395" i="5" s="1"/>
  <c r="B2396" i="5"/>
  <c r="T2396" i="5" s="1"/>
  <c r="B2397" i="5"/>
  <c r="T2397" i="5" s="1"/>
  <c r="B2398" i="5"/>
  <c r="T2398" i="5"/>
  <c r="B2399" i="5"/>
  <c r="T2399" i="5" s="1"/>
  <c r="B2400" i="5"/>
  <c r="T2400" i="5" s="1"/>
  <c r="B2401" i="5"/>
  <c r="T2401" i="5"/>
  <c r="B2402" i="5"/>
  <c r="B2403" i="5"/>
  <c r="T2403" i="5" s="1"/>
  <c r="B2404" i="5"/>
  <c r="B2405" i="5"/>
  <c r="T2405" i="5" s="1"/>
  <c r="B2406" i="5"/>
  <c r="T2406" i="5" s="1"/>
  <c r="B2407" i="5"/>
  <c r="T2407" i="5" s="1"/>
  <c r="B2408" i="5"/>
  <c r="T2408" i="5" s="1"/>
  <c r="B2409" i="5"/>
  <c r="B2410" i="5"/>
  <c r="B2411" i="5"/>
  <c r="T2411" i="5" s="1"/>
  <c r="B2412" i="5"/>
  <c r="T2412" i="5"/>
  <c r="B2413" i="5"/>
  <c r="T2413" i="5" s="1"/>
  <c r="B2414" i="5"/>
  <c r="T2414" i="5" s="1"/>
  <c r="B2415" i="5"/>
  <c r="B2416" i="5"/>
  <c r="B2417" i="5"/>
  <c r="T2417" i="5" s="1"/>
  <c r="B2418" i="5"/>
  <c r="T2418" i="5" s="1"/>
  <c r="B2419" i="5"/>
  <c r="S2419" i="5" s="1"/>
  <c r="T2419" i="5"/>
  <c r="B2420" i="5"/>
  <c r="B2421" i="5"/>
  <c r="S2421" i="5" s="1"/>
  <c r="B2422" i="5"/>
  <c r="T2422" i="5" s="1"/>
  <c r="B2423" i="5"/>
  <c r="T2423" i="5" s="1"/>
  <c r="B2424" i="5"/>
  <c r="T2424" i="5" s="1"/>
  <c r="B2425" i="5"/>
  <c r="T2425" i="5" s="1"/>
  <c r="B2426" i="5"/>
  <c r="T2426" i="5" s="1"/>
  <c r="B2427" i="5"/>
  <c r="T2427" i="5" s="1"/>
  <c r="B2428" i="5"/>
  <c r="T2428" i="5" s="1"/>
  <c r="B2429" i="5"/>
  <c r="B2430" i="5"/>
  <c r="T2430" i="5" s="1"/>
  <c r="B2431" i="5"/>
  <c r="B2432" i="5"/>
  <c r="T2432" i="5" s="1"/>
  <c r="B2433" i="5"/>
  <c r="T2433" i="5" s="1"/>
  <c r="B2434" i="5"/>
  <c r="B2435" i="5"/>
  <c r="AB2435" i="5" s="1"/>
  <c r="B2436" i="5"/>
  <c r="T2436" i="5" s="1"/>
  <c r="B2437" i="5"/>
  <c r="T2437" i="5" s="1"/>
  <c r="B2438" i="5"/>
  <c r="T2438" i="5" s="1"/>
  <c r="B2439" i="5"/>
  <c r="B2440" i="5"/>
  <c r="S2440" i="5" s="1"/>
  <c r="B2441" i="5"/>
  <c r="T2441" i="5" s="1"/>
  <c r="B2442" i="5"/>
  <c r="T2442" i="5" s="1"/>
  <c r="B2443" i="5"/>
  <c r="B2444" i="5"/>
  <c r="T2444" i="5" s="1"/>
  <c r="B2445" i="5"/>
  <c r="T2445" i="5" s="1"/>
  <c r="B2446" i="5"/>
  <c r="B2447" i="5"/>
  <c r="T2447" i="5" s="1"/>
  <c r="B2448" i="5"/>
  <c r="T2448" i="5" s="1"/>
  <c r="B2449" i="5"/>
  <c r="B2450" i="5"/>
  <c r="T2450" i="5" s="1"/>
  <c r="B2451" i="5"/>
  <c r="B2452" i="5"/>
  <c r="B2453" i="5"/>
  <c r="T2453" i="5" s="1"/>
  <c r="B2454" i="5"/>
  <c r="T2454" i="5" s="1"/>
  <c r="B2455" i="5"/>
  <c r="B2456" i="5"/>
  <c r="B2457" i="5"/>
  <c r="T2457" i="5" s="1"/>
  <c r="B2458" i="5"/>
  <c r="B2459" i="5"/>
  <c r="B2460" i="5"/>
  <c r="B2461" i="5"/>
  <c r="T2461" i="5" s="1"/>
  <c r="B2462" i="5"/>
  <c r="T2462" i="5" s="1"/>
  <c r="B2463" i="5"/>
  <c r="T2463" i="5" s="1"/>
  <c r="B2464" i="5"/>
  <c r="B2465" i="5"/>
  <c r="B2466" i="5"/>
  <c r="B2467" i="5"/>
  <c r="B2468" i="5"/>
  <c r="T2468" i="5" s="1"/>
  <c r="B2469" i="5"/>
  <c r="B2470" i="5"/>
  <c r="B2471" i="5"/>
  <c r="B2472" i="5"/>
  <c r="T2472" i="5"/>
  <c r="B2473" i="5"/>
  <c r="T2473" i="5" s="1"/>
  <c r="B2474" i="5"/>
  <c r="T2474" i="5" s="1"/>
  <c r="B2475" i="5"/>
  <c r="AB2475" i="5" s="1"/>
  <c r="B2476" i="5"/>
  <c r="T2476" i="5" s="1"/>
  <c r="B2477" i="5"/>
  <c r="T2477" i="5" s="1"/>
  <c r="B2478" i="5"/>
  <c r="B2479" i="5"/>
  <c r="T2479" i="5" s="1"/>
  <c r="B2480" i="5"/>
  <c r="B2481" i="5"/>
  <c r="T2481" i="5" s="1"/>
  <c r="B2482" i="5"/>
  <c r="B2483" i="5"/>
  <c r="T2483" i="5" s="1"/>
  <c r="B2484" i="5"/>
  <c r="T2484" i="5" s="1"/>
  <c r="B2485" i="5"/>
  <c r="T2485" i="5"/>
  <c r="B2486" i="5"/>
  <c r="T2486" i="5" s="1"/>
  <c r="B2487" i="5"/>
  <c r="T2487" i="5" s="1"/>
  <c r="B2488" i="5"/>
  <c r="S2488" i="5" s="1"/>
  <c r="T2488" i="5"/>
  <c r="B2489" i="5"/>
  <c r="T2489" i="5" s="1"/>
  <c r="B2490" i="5"/>
  <c r="T2490" i="5" s="1"/>
  <c r="B2491" i="5"/>
  <c r="T2491" i="5"/>
  <c r="B2492" i="5"/>
  <c r="B2493" i="5"/>
  <c r="T2493" i="5" s="1"/>
  <c r="B2494" i="5"/>
  <c r="T2494" i="5" s="1"/>
  <c r="B2495" i="5"/>
  <c r="T2495" i="5" s="1"/>
  <c r="B2496" i="5"/>
  <c r="T2496" i="5" s="1"/>
  <c r="B2497" i="5"/>
  <c r="T2497" i="5" s="1"/>
  <c r="B2498" i="5"/>
  <c r="T2498" i="5" s="1"/>
  <c r="B2499" i="5"/>
  <c r="B2500" i="5"/>
  <c r="T2500" i="5" s="1"/>
  <c r="B2501" i="5"/>
  <c r="T2501" i="5" s="1"/>
  <c r="B2502" i="5"/>
  <c r="B2503" i="5"/>
  <c r="T2503" i="5" s="1"/>
  <c r="B2504" i="5"/>
  <c r="S2504" i="5" s="1"/>
  <c r="V5" i="5"/>
  <c r="R5" i="5" s="1"/>
  <c r="X5"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D4" i="5" s="1"/>
  <c r="E4" i="8"/>
  <c r="C4" i="5"/>
  <c r="C1160" i="5"/>
  <c r="C1161" i="5"/>
  <c r="V1161" i="5" s="1"/>
  <c r="C1162" i="5"/>
  <c r="C1163" i="5"/>
  <c r="V1163" i="5" s="1"/>
  <c r="F1163" i="5" s="1"/>
  <c r="C1164" i="5"/>
  <c r="AB1164" i="5" s="1"/>
  <c r="C1165" i="5"/>
  <c r="V1165" i="5" s="1"/>
  <c r="C1166" i="5"/>
  <c r="C1167" i="5"/>
  <c r="C1168" i="5"/>
  <c r="V1168" i="5" s="1"/>
  <c r="F1168" i="5" s="1"/>
  <c r="C1169" i="5"/>
  <c r="C1170" i="5"/>
  <c r="C1171" i="5"/>
  <c r="C1172" i="5"/>
  <c r="V1172" i="5" s="1"/>
  <c r="I1172" i="5" s="1"/>
  <c r="C1173" i="5"/>
  <c r="C1174" i="5"/>
  <c r="C1175" i="5"/>
  <c r="V1175" i="5" s="1"/>
  <c r="C1176" i="5"/>
  <c r="C1177" i="5"/>
  <c r="C1178" i="5"/>
  <c r="C1179" i="5"/>
  <c r="C1180" i="5"/>
  <c r="V1180" i="5" s="1"/>
  <c r="J1180" i="5" s="1"/>
  <c r="C1181" i="5"/>
  <c r="V1181" i="5" s="1"/>
  <c r="E1181" i="5" s="1"/>
  <c r="X1181" i="5" s="1"/>
  <c r="C1182" i="5"/>
  <c r="C1183" i="5"/>
  <c r="C1184" i="5"/>
  <c r="C1185" i="5"/>
  <c r="C1186" i="5"/>
  <c r="C1187" i="5"/>
  <c r="C1188" i="5"/>
  <c r="C1189" i="5"/>
  <c r="C1190" i="5"/>
  <c r="C1191" i="5"/>
  <c r="C1192" i="5"/>
  <c r="C1193" i="5"/>
  <c r="V1193" i="5" s="1"/>
  <c r="E1193" i="5" s="1"/>
  <c r="X1193" i="5" s="1"/>
  <c r="C1194" i="5"/>
  <c r="V1194" i="5" s="1"/>
  <c r="E1194" i="5" s="1"/>
  <c r="X1194" i="5" s="1"/>
  <c r="C1195" i="5"/>
  <c r="V1195" i="5" s="1"/>
  <c r="G1195" i="5" s="1"/>
  <c r="C1196" i="5"/>
  <c r="C1197" i="5"/>
  <c r="C1198" i="5"/>
  <c r="C1199" i="5"/>
  <c r="C1200" i="5"/>
  <c r="V1200" i="5" s="1"/>
  <c r="C1201" i="5"/>
  <c r="V1201" i="5" s="1"/>
  <c r="C1202" i="5"/>
  <c r="C1203" i="5"/>
  <c r="C1204" i="5"/>
  <c r="V1204" i="5" s="1"/>
  <c r="I1204" i="5" s="1"/>
  <c r="C1205" i="5"/>
  <c r="V1205" i="5" s="1"/>
  <c r="H1205" i="5" s="1"/>
  <c r="C1206" i="5"/>
  <c r="C1207" i="5"/>
  <c r="C1208" i="5"/>
  <c r="V1208" i="5" s="1"/>
  <c r="C1209" i="5"/>
  <c r="C1210" i="5"/>
  <c r="C1211" i="5"/>
  <c r="C1212" i="5"/>
  <c r="C1213" i="5"/>
  <c r="C1214" i="5"/>
  <c r="C1215" i="5"/>
  <c r="C1216" i="5"/>
  <c r="C1217" i="5"/>
  <c r="C1218" i="5"/>
  <c r="V1218" i="5" s="1"/>
  <c r="E1218" i="5" s="1"/>
  <c r="X1218" i="5" s="1"/>
  <c r="C1219" i="5"/>
  <c r="C1220" i="5"/>
  <c r="C1221" i="5"/>
  <c r="V1221" i="5" s="1"/>
  <c r="C1222" i="5"/>
  <c r="V1222" i="5" s="1"/>
  <c r="E1222" i="5" s="1"/>
  <c r="X1222" i="5" s="1"/>
  <c r="C1223" i="5"/>
  <c r="C1224" i="5"/>
  <c r="C1225" i="5"/>
  <c r="C1226" i="5"/>
  <c r="C1227" i="5"/>
  <c r="C1228" i="5"/>
  <c r="C1229" i="5"/>
  <c r="V1229" i="5" s="1"/>
  <c r="C1230" i="5"/>
  <c r="V1230" i="5" s="1"/>
  <c r="H1230" i="5" s="1"/>
  <c r="C1231" i="5"/>
  <c r="V1231" i="5" s="1"/>
  <c r="C1232" i="5"/>
  <c r="C1233" i="5"/>
  <c r="V1233" i="5" s="1"/>
  <c r="J1233" i="5" s="1"/>
  <c r="C1234" i="5"/>
  <c r="C1235" i="5"/>
  <c r="V1235" i="5" s="1"/>
  <c r="E1235" i="5" s="1"/>
  <c r="X1235" i="5" s="1"/>
  <c r="C1236" i="5"/>
  <c r="C1237" i="5"/>
  <c r="C1238" i="5"/>
  <c r="C1239" i="5"/>
  <c r="C1240" i="5"/>
  <c r="C1241" i="5"/>
  <c r="C1242" i="5"/>
  <c r="C1243" i="5"/>
  <c r="V1243" i="5" s="1"/>
  <c r="F1243" i="5" s="1"/>
  <c r="C1244" i="5"/>
  <c r="C1245" i="5"/>
  <c r="C1246" i="5"/>
  <c r="C1247" i="5"/>
  <c r="C1248" i="5"/>
  <c r="V1248" i="5" s="1"/>
  <c r="E1248" i="5" s="1"/>
  <c r="X1248" i="5" s="1"/>
  <c r="C1249" i="5"/>
  <c r="C1250" i="5"/>
  <c r="V1250" i="5" s="1"/>
  <c r="E1250" i="5" s="1"/>
  <c r="X1250" i="5" s="1"/>
  <c r="C1251" i="5"/>
  <c r="C1252" i="5"/>
  <c r="V1252" i="5" s="1"/>
  <c r="C1253" i="5"/>
  <c r="V1253" i="5" s="1"/>
  <c r="C1254" i="5"/>
  <c r="C1255" i="5"/>
  <c r="V1255" i="5" s="1"/>
  <c r="E1255" i="5" s="1"/>
  <c r="X1255" i="5" s="1"/>
  <c r="C1256" i="5"/>
  <c r="V1256" i="5" s="1"/>
  <c r="C1257" i="5"/>
  <c r="C1258" i="5"/>
  <c r="V1258" i="5" s="1"/>
  <c r="E1258" i="5" s="1"/>
  <c r="X1258" i="5" s="1"/>
  <c r="C1259" i="5"/>
  <c r="C1260" i="5"/>
  <c r="C1261" i="5"/>
  <c r="C1262" i="5"/>
  <c r="C1263" i="5"/>
  <c r="C1264" i="5"/>
  <c r="V1264" i="5" s="1"/>
  <c r="F1264" i="5" s="1"/>
  <c r="C1265" i="5"/>
  <c r="C1266" i="5"/>
  <c r="C1267" i="5"/>
  <c r="V1267" i="5" s="1"/>
  <c r="E1267" i="5" s="1"/>
  <c r="X1267" i="5" s="1"/>
  <c r="C1268" i="5"/>
  <c r="C1269" i="5"/>
  <c r="V1269" i="5" s="1"/>
  <c r="J1269" i="5" s="1"/>
  <c r="C1270" i="5"/>
  <c r="C1271" i="5"/>
  <c r="C1272" i="5"/>
  <c r="C1273" i="5"/>
  <c r="C1274" i="5"/>
  <c r="C1275" i="5"/>
  <c r="C1276" i="5"/>
  <c r="V1276" i="5" s="1"/>
  <c r="C1277" i="5"/>
  <c r="V1277" i="5" s="1"/>
  <c r="J1277" i="5" s="1"/>
  <c r="C1278" i="5"/>
  <c r="V1278" i="5" s="1"/>
  <c r="C1279" i="5"/>
  <c r="C1280" i="5"/>
  <c r="V1280" i="5" s="1"/>
  <c r="C1281" i="5"/>
  <c r="C1282" i="5"/>
  <c r="C1283" i="5"/>
  <c r="C1284" i="5"/>
  <c r="C1285" i="5"/>
  <c r="V1285" i="5" s="1"/>
  <c r="E1285" i="5" s="1"/>
  <c r="X1285" i="5" s="1"/>
  <c r="C1286" i="5"/>
  <c r="C1287" i="5"/>
  <c r="C1288" i="5"/>
  <c r="V1288" i="5" s="1"/>
  <c r="C1289" i="5"/>
  <c r="V1289" i="5" s="1"/>
  <c r="E1289" i="5" s="1"/>
  <c r="X1289" i="5" s="1"/>
  <c r="C1290" i="5"/>
  <c r="C1291" i="5"/>
  <c r="C1292" i="5"/>
  <c r="C1293" i="5"/>
  <c r="C1294" i="5"/>
  <c r="C1295" i="5"/>
  <c r="C1296" i="5"/>
  <c r="C1297" i="5"/>
  <c r="C1298" i="5"/>
  <c r="C1299" i="5"/>
  <c r="C1300" i="5"/>
  <c r="C1301" i="5"/>
  <c r="V1301" i="5" s="1"/>
  <c r="E1301" i="5" s="1"/>
  <c r="X1301" i="5" s="1"/>
  <c r="C1302" i="5"/>
  <c r="C1303" i="5"/>
  <c r="V1303" i="5" s="1"/>
  <c r="C1304" i="5"/>
  <c r="V1304" i="5" s="1"/>
  <c r="H1304" i="5" s="1"/>
  <c r="C1305" i="5"/>
  <c r="C1306" i="5"/>
  <c r="V1306" i="5" s="1"/>
  <c r="E1306" i="5" s="1"/>
  <c r="X1306" i="5" s="1"/>
  <c r="C1307" i="5"/>
  <c r="C1308" i="5"/>
  <c r="V1308" i="5" s="1"/>
  <c r="C1309" i="5"/>
  <c r="C1310" i="5"/>
  <c r="C1311" i="5"/>
  <c r="C1312" i="5"/>
  <c r="C1313" i="5"/>
  <c r="C1314" i="5"/>
  <c r="C1315" i="5"/>
  <c r="C1316" i="5"/>
  <c r="C1317" i="5"/>
  <c r="C1318" i="5"/>
  <c r="C1319" i="5"/>
  <c r="C1320" i="5"/>
  <c r="V1320" i="5" s="1"/>
  <c r="H1320" i="5" s="1"/>
  <c r="C1321" i="5"/>
  <c r="AB1321" i="5" s="1"/>
  <c r="C1322" i="5"/>
  <c r="V1322" i="5" s="1"/>
  <c r="C1323" i="5"/>
  <c r="C1324" i="5"/>
  <c r="V1324" i="5" s="1"/>
  <c r="C1325" i="5"/>
  <c r="C1326" i="5"/>
  <c r="C1327" i="5"/>
  <c r="V1327" i="5" s="1"/>
  <c r="E1327" i="5" s="1"/>
  <c r="X1327" i="5" s="1"/>
  <c r="C1328" i="5"/>
  <c r="C1329" i="5"/>
  <c r="V1329" i="5" s="1"/>
  <c r="C1330" i="5"/>
  <c r="V1330" i="5" s="1"/>
  <c r="C1331" i="5"/>
  <c r="C1332" i="5"/>
  <c r="AB1332" i="5" s="1"/>
  <c r="C1333" i="5"/>
  <c r="V1333" i="5" s="1"/>
  <c r="C1334" i="5"/>
  <c r="V1334" i="5" s="1"/>
  <c r="E1334" i="5" s="1"/>
  <c r="X1334" i="5" s="1"/>
  <c r="C1335" i="5"/>
  <c r="C1336" i="5"/>
  <c r="C1337" i="5"/>
  <c r="V1337" i="5" s="1"/>
  <c r="C1338" i="5"/>
  <c r="C1339" i="5"/>
  <c r="V1339" i="5" s="1"/>
  <c r="C1340" i="5"/>
  <c r="C1341" i="5"/>
  <c r="C1342" i="5"/>
  <c r="AB1342" i="5" s="1"/>
  <c r="C1343" i="5"/>
  <c r="C1344" i="5"/>
  <c r="C1345" i="5"/>
  <c r="V1345" i="5" s="1"/>
  <c r="C1346" i="5"/>
  <c r="C1347" i="5"/>
  <c r="C1348" i="5"/>
  <c r="V1348" i="5" s="1"/>
  <c r="F1348" i="5" s="1"/>
  <c r="C1349" i="5"/>
  <c r="C1350" i="5"/>
  <c r="C1351" i="5"/>
  <c r="V1351" i="5" s="1"/>
  <c r="C1352" i="5"/>
  <c r="C1353" i="5"/>
  <c r="C1354" i="5"/>
  <c r="V1354" i="5" s="1"/>
  <c r="E1354" i="5" s="1"/>
  <c r="X1354" i="5" s="1"/>
  <c r="C1355" i="5"/>
  <c r="V1355" i="5" s="1"/>
  <c r="C1356" i="5"/>
  <c r="V1356" i="5" s="1"/>
  <c r="C1357" i="5"/>
  <c r="C1358" i="5"/>
  <c r="C1359" i="5"/>
  <c r="C1360" i="5"/>
  <c r="V1360" i="5" s="1"/>
  <c r="C1361" i="5"/>
  <c r="V1361" i="5" s="1"/>
  <c r="C1362" i="5"/>
  <c r="C1363" i="5"/>
  <c r="C1364" i="5"/>
  <c r="C1365" i="5"/>
  <c r="C1366" i="5"/>
  <c r="C1367" i="5"/>
  <c r="C1368" i="5"/>
  <c r="V1368" i="5" s="1"/>
  <c r="C1369" i="5"/>
  <c r="AB1369" i="5" s="1"/>
  <c r="C1370" i="5"/>
  <c r="C1371" i="5"/>
  <c r="C1372" i="5"/>
  <c r="AB1372" i="5" s="1"/>
  <c r="C1373" i="5"/>
  <c r="V1373" i="5" s="1"/>
  <c r="C1374" i="5"/>
  <c r="C1375" i="5"/>
  <c r="V1375" i="5" s="1"/>
  <c r="C1376" i="5"/>
  <c r="C1377" i="5"/>
  <c r="C1378" i="5"/>
  <c r="V1378" i="5" s="1"/>
  <c r="I1378" i="5" s="1"/>
  <c r="C1379" i="5"/>
  <c r="C1380" i="5"/>
  <c r="C1381" i="5"/>
  <c r="C1382" i="5"/>
  <c r="C1383" i="5"/>
  <c r="C1384" i="5"/>
  <c r="V1384" i="5" s="1"/>
  <c r="R1384" i="5" s="1"/>
  <c r="C1385" i="5"/>
  <c r="V1385" i="5" s="1"/>
  <c r="E1385" i="5" s="1"/>
  <c r="X1385" i="5" s="1"/>
  <c r="C1386" i="5"/>
  <c r="C1387" i="5"/>
  <c r="V1387" i="5" s="1"/>
  <c r="C1388" i="5"/>
  <c r="V1388" i="5" s="1"/>
  <c r="R1388" i="5" s="1"/>
  <c r="C1389" i="5"/>
  <c r="V1389" i="5" s="1"/>
  <c r="C1390" i="5"/>
  <c r="C1391" i="5"/>
  <c r="C1392" i="5"/>
  <c r="C1393" i="5"/>
  <c r="C1394" i="5"/>
  <c r="V1394" i="5" s="1"/>
  <c r="E1394" i="5" s="1"/>
  <c r="X1394" i="5" s="1"/>
  <c r="C1395" i="5"/>
  <c r="C1396" i="5"/>
  <c r="V1396" i="5" s="1"/>
  <c r="C1397" i="5"/>
  <c r="C1398" i="5"/>
  <c r="C1399" i="5"/>
  <c r="C1400" i="5"/>
  <c r="C1401" i="5"/>
  <c r="C1402" i="5"/>
  <c r="V1402" i="5" s="1"/>
  <c r="F1402" i="5" s="1"/>
  <c r="C1403" i="5"/>
  <c r="C1404" i="5"/>
  <c r="C1405" i="5"/>
  <c r="C1406" i="5"/>
  <c r="V1406" i="5" s="1"/>
  <c r="C1407" i="5"/>
  <c r="C1408" i="5"/>
  <c r="V1408" i="5" s="1"/>
  <c r="C1409" i="5"/>
  <c r="V1409" i="5" s="1"/>
  <c r="E1409" i="5" s="1"/>
  <c r="X1409" i="5" s="1"/>
  <c r="C1410" i="5"/>
  <c r="V1410" i="5" s="1"/>
  <c r="C1411" i="5"/>
  <c r="V1411" i="5" s="1"/>
  <c r="C1412" i="5"/>
  <c r="C1413" i="5"/>
  <c r="C1414" i="5"/>
  <c r="C1415" i="5"/>
  <c r="C1416" i="5"/>
  <c r="C1417" i="5"/>
  <c r="C1418" i="5"/>
  <c r="C1419" i="5"/>
  <c r="C1420" i="5"/>
  <c r="C1421" i="5"/>
  <c r="V1421" i="5" s="1"/>
  <c r="E1421" i="5" s="1"/>
  <c r="X1421" i="5" s="1"/>
  <c r="C1422" i="5"/>
  <c r="C1423" i="5"/>
  <c r="C1424" i="5"/>
  <c r="V1424" i="5" s="1"/>
  <c r="F1424" i="5" s="1"/>
  <c r="C1425" i="5"/>
  <c r="C1426" i="5"/>
  <c r="V1426" i="5" s="1"/>
  <c r="E1426" i="5" s="1"/>
  <c r="X1426" i="5" s="1"/>
  <c r="C1427" i="5"/>
  <c r="C1428" i="5"/>
  <c r="V1428" i="5" s="1"/>
  <c r="E1428" i="5" s="1"/>
  <c r="X1428" i="5" s="1"/>
  <c r="C1429" i="5"/>
  <c r="C1430" i="5"/>
  <c r="V1430" i="5" s="1"/>
  <c r="E1430" i="5" s="1"/>
  <c r="X1430" i="5" s="1"/>
  <c r="C1431" i="5"/>
  <c r="C1432" i="5"/>
  <c r="C1433" i="5"/>
  <c r="C1434" i="5"/>
  <c r="V1434" i="5" s="1"/>
  <c r="C1435" i="5"/>
  <c r="V1435" i="5" s="1"/>
  <c r="C1436" i="5"/>
  <c r="V1436" i="5" s="1"/>
  <c r="E1436" i="5" s="1"/>
  <c r="X1436" i="5" s="1"/>
  <c r="C1437" i="5"/>
  <c r="C1438" i="5"/>
  <c r="C1439" i="5"/>
  <c r="C1440" i="5"/>
  <c r="C1441" i="5"/>
  <c r="C1442" i="5"/>
  <c r="C1443" i="5"/>
  <c r="C1444" i="5"/>
  <c r="V1444" i="5" s="1"/>
  <c r="H1444" i="5" s="1"/>
  <c r="C1445" i="5"/>
  <c r="C1446" i="5"/>
  <c r="C1447" i="5"/>
  <c r="C1448" i="5"/>
  <c r="C1449" i="5"/>
  <c r="C1450" i="5"/>
  <c r="AB1450" i="5" s="1"/>
  <c r="C1451" i="5"/>
  <c r="C1452" i="5"/>
  <c r="C1453" i="5"/>
  <c r="C1454" i="5"/>
  <c r="C1455" i="5"/>
  <c r="C1456" i="5"/>
  <c r="V1456" i="5" s="1"/>
  <c r="R1456" i="5" s="1"/>
  <c r="C1457" i="5"/>
  <c r="V1457" i="5" s="1"/>
  <c r="C1458" i="5"/>
  <c r="C1459" i="5"/>
  <c r="C1460" i="5"/>
  <c r="V1460" i="5" s="1"/>
  <c r="E1460" i="5" s="1"/>
  <c r="X1460" i="5" s="1"/>
  <c r="C1461" i="5"/>
  <c r="C1462" i="5"/>
  <c r="AB1462" i="5" s="1"/>
  <c r="C1463" i="5"/>
  <c r="C1464" i="5"/>
  <c r="V1464" i="5" s="1"/>
  <c r="C1465" i="5"/>
  <c r="C1466" i="5"/>
  <c r="C1467" i="5"/>
  <c r="C1468" i="5"/>
  <c r="C1469" i="5"/>
  <c r="C1470" i="5"/>
  <c r="C1471" i="5"/>
  <c r="C1472" i="5"/>
  <c r="C1473" i="5"/>
  <c r="C1474" i="5"/>
  <c r="C1475" i="5"/>
  <c r="V1475" i="5" s="1"/>
  <c r="C1476" i="5"/>
  <c r="V1476" i="5" s="1"/>
  <c r="H1476" i="5" s="1"/>
  <c r="C1477" i="5"/>
  <c r="C1478" i="5"/>
  <c r="C1479" i="5"/>
  <c r="C1480" i="5"/>
  <c r="C1481" i="5"/>
  <c r="V1481" i="5" s="1"/>
  <c r="C1482" i="5"/>
  <c r="C1483" i="5"/>
  <c r="C1484" i="5"/>
  <c r="V1484" i="5" s="1"/>
  <c r="E1484" i="5" s="1"/>
  <c r="X1484" i="5" s="1"/>
  <c r="C1485" i="5"/>
  <c r="V1485" i="5" s="1"/>
  <c r="C1486" i="5"/>
  <c r="C1487" i="5"/>
  <c r="C1488" i="5"/>
  <c r="C1489" i="5"/>
  <c r="C1490" i="5"/>
  <c r="V1490" i="5" s="1"/>
  <c r="C1491" i="5"/>
  <c r="C1492" i="5"/>
  <c r="V1492" i="5" s="1"/>
  <c r="C1493" i="5"/>
  <c r="V1493" i="5" s="1"/>
  <c r="C1494" i="5"/>
  <c r="C1495" i="5"/>
  <c r="C1496" i="5"/>
  <c r="C1497" i="5"/>
  <c r="V1497" i="5" s="1"/>
  <c r="C1498" i="5"/>
  <c r="C1499" i="5"/>
  <c r="C1500" i="5"/>
  <c r="C1501" i="5"/>
  <c r="V1501" i="5" s="1"/>
  <c r="C1502" i="5"/>
  <c r="C1503" i="5"/>
  <c r="C1504" i="5"/>
  <c r="V1504" i="5" s="1"/>
  <c r="R1504" i="5" s="1"/>
  <c r="C1505" i="5"/>
  <c r="C1506" i="5"/>
  <c r="C1507" i="5"/>
  <c r="C1508" i="5"/>
  <c r="V1508" i="5" s="1"/>
  <c r="E1508" i="5" s="1"/>
  <c r="X1508" i="5" s="1"/>
  <c r="C1509" i="5"/>
  <c r="C1510" i="5"/>
  <c r="C1511" i="5"/>
  <c r="AB1511" i="5" s="1"/>
  <c r="C1512" i="5"/>
  <c r="V1512" i="5" s="1"/>
  <c r="C1513" i="5"/>
  <c r="C1514" i="5"/>
  <c r="C1515" i="5"/>
  <c r="C1516" i="5"/>
  <c r="V1516" i="5" s="1"/>
  <c r="C1517" i="5"/>
  <c r="V1517" i="5" s="1"/>
  <c r="E1517" i="5" s="1"/>
  <c r="X1517" i="5" s="1"/>
  <c r="C1518" i="5"/>
  <c r="V1518" i="5" s="1"/>
  <c r="E1518" i="5" s="1"/>
  <c r="X1518" i="5" s="1"/>
  <c r="C1519" i="5"/>
  <c r="V1519" i="5" s="1"/>
  <c r="I1519" i="5" s="1"/>
  <c r="C1520" i="5"/>
  <c r="C1521" i="5"/>
  <c r="C1522" i="5"/>
  <c r="C1523" i="5"/>
  <c r="C1524" i="5"/>
  <c r="C1525" i="5"/>
  <c r="C1526" i="5"/>
  <c r="V1526" i="5" s="1"/>
  <c r="C1527" i="5"/>
  <c r="C1528" i="5"/>
  <c r="V1528" i="5" s="1"/>
  <c r="R1528" i="5" s="1"/>
  <c r="C1529" i="5"/>
  <c r="C1530" i="5"/>
  <c r="V1530" i="5" s="1"/>
  <c r="E1530" i="5" s="1"/>
  <c r="X1530" i="5" s="1"/>
  <c r="C1531" i="5"/>
  <c r="C1532" i="5"/>
  <c r="C1533" i="5"/>
  <c r="C1534" i="5"/>
  <c r="C1535" i="5"/>
  <c r="V1535" i="5" s="1"/>
  <c r="I1535" i="5" s="1"/>
  <c r="C1536" i="5"/>
  <c r="C1537" i="5"/>
  <c r="AB1537" i="5" s="1"/>
  <c r="C1538" i="5"/>
  <c r="C1539" i="5"/>
  <c r="C1540" i="5"/>
  <c r="AB1540" i="5" s="1"/>
  <c r="C1541" i="5"/>
  <c r="C1542" i="5"/>
  <c r="C1543" i="5"/>
  <c r="C1544" i="5"/>
  <c r="V1544" i="5" s="1"/>
  <c r="E1544" i="5" s="1"/>
  <c r="X1544" i="5" s="1"/>
  <c r="C1545" i="5"/>
  <c r="C1546" i="5"/>
  <c r="V1546" i="5" s="1"/>
  <c r="J1546" i="5" s="1"/>
  <c r="C1547" i="5"/>
  <c r="C1548" i="5"/>
  <c r="V1548" i="5" s="1"/>
  <c r="C1549" i="5"/>
  <c r="C1550" i="5"/>
  <c r="V1550" i="5" s="1"/>
  <c r="G1550" i="5" s="1"/>
  <c r="C1551" i="5"/>
  <c r="C1552" i="5"/>
  <c r="V1552" i="5" s="1"/>
  <c r="R1552" i="5" s="1"/>
  <c r="C1553" i="5"/>
  <c r="V1553" i="5" s="1"/>
  <c r="R1553" i="5" s="1"/>
  <c r="C1554" i="5"/>
  <c r="C1555" i="5"/>
  <c r="C1556" i="5"/>
  <c r="V1556" i="5" s="1"/>
  <c r="C1557" i="5"/>
  <c r="C1558" i="5"/>
  <c r="V1558" i="5" s="1"/>
  <c r="I1558" i="5" s="1"/>
  <c r="C1559" i="5"/>
  <c r="C1560" i="5"/>
  <c r="C1561" i="5"/>
  <c r="C1562" i="5"/>
  <c r="C1563" i="5"/>
  <c r="C1564" i="5"/>
  <c r="AB1564" i="5" s="1"/>
  <c r="C1565" i="5"/>
  <c r="C1566" i="5"/>
  <c r="C1567" i="5"/>
  <c r="AB1567" i="5" s="1"/>
  <c r="C1568" i="5"/>
  <c r="C1569" i="5"/>
  <c r="C1570" i="5"/>
  <c r="C1571" i="5"/>
  <c r="C1572" i="5"/>
  <c r="C1573" i="5"/>
  <c r="C1574" i="5"/>
  <c r="C1575" i="5"/>
  <c r="C1576" i="5"/>
  <c r="AB1576" i="5" s="1"/>
  <c r="C1577" i="5"/>
  <c r="V1577" i="5" s="1"/>
  <c r="C1578" i="5"/>
  <c r="C1579" i="5"/>
  <c r="C1580" i="5"/>
  <c r="C1581" i="5"/>
  <c r="C1582" i="5"/>
  <c r="V1582" i="5" s="1"/>
  <c r="C1583" i="5"/>
  <c r="C1584" i="5"/>
  <c r="C1585" i="5"/>
  <c r="C1586" i="5"/>
  <c r="C1587" i="5"/>
  <c r="C1588" i="5"/>
  <c r="V1588" i="5" s="1"/>
  <c r="C1589" i="5"/>
  <c r="V1589" i="5" s="1"/>
  <c r="C1590" i="5"/>
  <c r="C1591" i="5"/>
  <c r="V1591" i="5" s="1"/>
  <c r="C1592" i="5"/>
  <c r="C1593" i="5"/>
  <c r="C1594" i="5"/>
  <c r="V1594" i="5" s="1"/>
  <c r="C1595" i="5"/>
  <c r="C1596" i="5"/>
  <c r="C1597" i="5"/>
  <c r="V1597" i="5" s="1"/>
  <c r="C1598" i="5"/>
  <c r="C1599" i="5"/>
  <c r="C1600" i="5"/>
  <c r="V1600" i="5" s="1"/>
  <c r="R1600" i="5" s="1"/>
  <c r="C1601" i="5"/>
  <c r="AB1601" i="5" s="1"/>
  <c r="C1602" i="5"/>
  <c r="C1603" i="5"/>
  <c r="V1603" i="5" s="1"/>
  <c r="C1604" i="5"/>
  <c r="C1605" i="5"/>
  <c r="C1606" i="5"/>
  <c r="C1607" i="5"/>
  <c r="C1608" i="5"/>
  <c r="V1608" i="5" s="1"/>
  <c r="C1609" i="5"/>
  <c r="C1610" i="5"/>
  <c r="C1611" i="5"/>
  <c r="C1612" i="5"/>
  <c r="C1613" i="5"/>
  <c r="C1614" i="5"/>
  <c r="V1614" i="5" s="1"/>
  <c r="C1615" i="5"/>
  <c r="V1615" i="5" s="1"/>
  <c r="J1615" i="5" s="1"/>
  <c r="C1616" i="5"/>
  <c r="C1617" i="5"/>
  <c r="V1617" i="5" s="1"/>
  <c r="J1617" i="5" s="1"/>
  <c r="C1618" i="5"/>
  <c r="C1619" i="5"/>
  <c r="C1620" i="5"/>
  <c r="C1621" i="5"/>
  <c r="C1622" i="5"/>
  <c r="V1622" i="5" s="1"/>
  <c r="C1623" i="5"/>
  <c r="C1624" i="5"/>
  <c r="V1624" i="5" s="1"/>
  <c r="C1625" i="5"/>
  <c r="V1625" i="5" s="1"/>
  <c r="C1626" i="5"/>
  <c r="V1626" i="5" s="1"/>
  <c r="C1627" i="5"/>
  <c r="V1627" i="5" s="1"/>
  <c r="C1628" i="5"/>
  <c r="C1629" i="5"/>
  <c r="C1630" i="5"/>
  <c r="AB1630" i="5" s="1"/>
  <c r="C1631" i="5"/>
  <c r="C1632" i="5"/>
  <c r="V1632" i="5" s="1"/>
  <c r="C1633" i="5"/>
  <c r="C1634" i="5"/>
  <c r="C1635" i="5"/>
  <c r="C1636" i="5"/>
  <c r="AB1636" i="5" s="1"/>
  <c r="C1637" i="5"/>
  <c r="C1638" i="5"/>
  <c r="C1639" i="5"/>
  <c r="C1640" i="5"/>
  <c r="C1641" i="5"/>
  <c r="V1641" i="5" s="1"/>
  <c r="C1642" i="5"/>
  <c r="AB1642" i="5" s="1"/>
  <c r="C1643" i="5"/>
  <c r="V1643" i="5" s="1"/>
  <c r="E1643" i="5" s="1"/>
  <c r="X1643" i="5" s="1"/>
  <c r="C1644" i="5"/>
  <c r="C1645" i="5"/>
  <c r="V1645" i="5" s="1"/>
  <c r="C1646" i="5"/>
  <c r="C1647" i="5"/>
  <c r="C1648" i="5"/>
  <c r="V1648" i="5" s="1"/>
  <c r="R1648" i="5" s="1"/>
  <c r="C1649" i="5"/>
  <c r="V1649" i="5" s="1"/>
  <c r="C1650" i="5"/>
  <c r="C1651" i="5"/>
  <c r="V1651" i="5" s="1"/>
  <c r="G1651" i="5" s="1"/>
  <c r="C1652" i="5"/>
  <c r="C1653" i="5"/>
  <c r="C1654" i="5"/>
  <c r="V1654" i="5" s="1"/>
  <c r="E1654" i="5" s="1"/>
  <c r="X1654" i="5" s="1"/>
  <c r="C1655" i="5"/>
  <c r="AB1655" i="5" s="1"/>
  <c r="C1656" i="5"/>
  <c r="C1657" i="5"/>
  <c r="C1658" i="5"/>
  <c r="C1659" i="5"/>
  <c r="C1660" i="5"/>
  <c r="V1660" i="5" s="1"/>
  <c r="F1660" i="5" s="1"/>
  <c r="C1661" i="5"/>
  <c r="V1661" i="5" s="1"/>
  <c r="F1661" i="5" s="1"/>
  <c r="C1662" i="5"/>
  <c r="C1663" i="5"/>
  <c r="C1664" i="5"/>
  <c r="V1664" i="5" s="1"/>
  <c r="E1664" i="5" s="1"/>
  <c r="X1664" i="5" s="1"/>
  <c r="C1665" i="5"/>
  <c r="C1666" i="5"/>
  <c r="V1666" i="5" s="1"/>
  <c r="E1666" i="5" s="1"/>
  <c r="X1666" i="5" s="1"/>
  <c r="C1667" i="5"/>
  <c r="C1668" i="5"/>
  <c r="C1669" i="5"/>
  <c r="C1670" i="5"/>
  <c r="C1671" i="5"/>
  <c r="C1672" i="5"/>
  <c r="C1673" i="5"/>
  <c r="V1673" i="5" s="1"/>
  <c r="C1674" i="5"/>
  <c r="V1674" i="5" s="1"/>
  <c r="H1674" i="5" s="1"/>
  <c r="C1675" i="5"/>
  <c r="C1676" i="5"/>
  <c r="V1676" i="5" s="1"/>
  <c r="E1676" i="5" s="1"/>
  <c r="X1676" i="5" s="1"/>
  <c r="C1677" i="5"/>
  <c r="C1678" i="5"/>
  <c r="C1679" i="5"/>
  <c r="C1680" i="5"/>
  <c r="C1681" i="5"/>
  <c r="C1682" i="5"/>
  <c r="C1683" i="5"/>
  <c r="C1684" i="5"/>
  <c r="C1685" i="5"/>
  <c r="V1685" i="5" s="1"/>
  <c r="C1686" i="5"/>
  <c r="C1687" i="5"/>
  <c r="V1687" i="5" s="1"/>
  <c r="C1688" i="5"/>
  <c r="V1688" i="5" s="1"/>
  <c r="C1689" i="5"/>
  <c r="C1690" i="5"/>
  <c r="AB1690" i="5" s="1"/>
  <c r="C1691" i="5"/>
  <c r="C1692" i="5"/>
  <c r="C1693" i="5"/>
  <c r="C1694" i="5"/>
  <c r="C1695" i="5"/>
  <c r="C1696" i="5"/>
  <c r="C1697" i="5"/>
  <c r="C1698" i="5"/>
  <c r="C1699" i="5"/>
  <c r="C1700" i="5"/>
  <c r="C1701" i="5"/>
  <c r="V1701" i="5" s="1"/>
  <c r="C1702" i="5"/>
  <c r="C1703" i="5"/>
  <c r="C1704" i="5"/>
  <c r="C1705" i="5"/>
  <c r="C1706" i="5"/>
  <c r="V1706" i="5" s="1"/>
  <c r="E1706" i="5" s="1"/>
  <c r="X1706" i="5" s="1"/>
  <c r="C1707" i="5"/>
  <c r="C1708" i="5"/>
  <c r="C1709" i="5"/>
  <c r="V1709" i="5" s="1"/>
  <c r="C1710" i="5"/>
  <c r="C1711" i="5"/>
  <c r="V1711" i="5" s="1"/>
  <c r="C1712" i="5"/>
  <c r="C1713" i="5"/>
  <c r="C1714" i="5"/>
  <c r="C1715" i="5"/>
  <c r="C1716" i="5"/>
  <c r="C1717" i="5"/>
  <c r="C1718" i="5"/>
  <c r="C1719" i="5"/>
  <c r="C1720" i="5"/>
  <c r="C1721" i="5"/>
  <c r="C1722" i="5"/>
  <c r="C1723" i="5"/>
  <c r="V1723" i="5" s="1"/>
  <c r="C1724" i="5"/>
  <c r="C1725" i="5"/>
  <c r="C1726" i="5"/>
  <c r="C1727" i="5"/>
  <c r="C1728" i="5"/>
  <c r="C1729" i="5"/>
  <c r="C1730" i="5"/>
  <c r="C1731" i="5"/>
  <c r="C1732" i="5"/>
  <c r="AB1732" i="5" s="1"/>
  <c r="C1733" i="5"/>
  <c r="V1733" i="5" s="1"/>
  <c r="E1733" i="5" s="1"/>
  <c r="X1733" i="5" s="1"/>
  <c r="C1734" i="5"/>
  <c r="C1735" i="5"/>
  <c r="C1736" i="5"/>
  <c r="C1737" i="5"/>
  <c r="C1738" i="5"/>
  <c r="C1739" i="5"/>
  <c r="C1740" i="5"/>
  <c r="C1741" i="5"/>
  <c r="C1742" i="5"/>
  <c r="V1742" i="5" s="1"/>
  <c r="E1742" i="5" s="1"/>
  <c r="X1742" i="5" s="1"/>
  <c r="C1743" i="5"/>
  <c r="C1744" i="5"/>
  <c r="V1744" i="5" s="1"/>
  <c r="H1744" i="5" s="1"/>
  <c r="C1745" i="5"/>
  <c r="V1745" i="5" s="1"/>
  <c r="C1746" i="5"/>
  <c r="C1747" i="5"/>
  <c r="C1748" i="5"/>
  <c r="V1748" i="5" s="1"/>
  <c r="C1749" i="5"/>
  <c r="C1750" i="5"/>
  <c r="C1751" i="5"/>
  <c r="C1752" i="5"/>
  <c r="V1752" i="5" s="1"/>
  <c r="C1753" i="5"/>
  <c r="V1753" i="5" s="1"/>
  <c r="G1753" i="5" s="1"/>
  <c r="C1754" i="5"/>
  <c r="C1755" i="5"/>
  <c r="C1756" i="5"/>
  <c r="C1757" i="5"/>
  <c r="C1758" i="5"/>
  <c r="V1758" i="5" s="1"/>
  <c r="C1759" i="5"/>
  <c r="V1759" i="5" s="1"/>
  <c r="C1760" i="5"/>
  <c r="C1761" i="5"/>
  <c r="C1762" i="5"/>
  <c r="C1763" i="5"/>
  <c r="C1764" i="5"/>
  <c r="C1765" i="5"/>
  <c r="C1766" i="5"/>
  <c r="C1767" i="5"/>
  <c r="C1768" i="5"/>
  <c r="C1769" i="5"/>
  <c r="V1769" i="5" s="1"/>
  <c r="C1770" i="5"/>
  <c r="C1771" i="5"/>
  <c r="C1772" i="5"/>
  <c r="C1773" i="5"/>
  <c r="C1774" i="5"/>
  <c r="C1775" i="5"/>
  <c r="C1776" i="5"/>
  <c r="V1776" i="5" s="1"/>
  <c r="E1776" i="5" s="1"/>
  <c r="X1776" i="5" s="1"/>
  <c r="C1777" i="5"/>
  <c r="C1778" i="5"/>
  <c r="V1778" i="5" s="1"/>
  <c r="C1779" i="5"/>
  <c r="C1780" i="5"/>
  <c r="C1781" i="5"/>
  <c r="V1781" i="5" s="1"/>
  <c r="C1782" i="5"/>
  <c r="C1783" i="5"/>
  <c r="C1784" i="5"/>
  <c r="C1785" i="5"/>
  <c r="C1786" i="5"/>
  <c r="C1787" i="5"/>
  <c r="C1788" i="5"/>
  <c r="C1789" i="5"/>
  <c r="AB1789" i="5" s="1"/>
  <c r="C1790" i="5"/>
  <c r="C1791" i="5"/>
  <c r="C1792" i="5"/>
  <c r="V1792" i="5" s="1"/>
  <c r="C1793" i="5"/>
  <c r="V1793" i="5" s="1"/>
  <c r="C1794" i="5"/>
  <c r="C1795" i="5"/>
  <c r="V1795" i="5" s="1"/>
  <c r="C1796" i="5"/>
  <c r="V1796" i="5" s="1"/>
  <c r="E1796" i="5" s="1"/>
  <c r="X1796" i="5" s="1"/>
  <c r="C1797" i="5"/>
  <c r="V1797" i="5" s="1"/>
  <c r="C1798" i="5"/>
  <c r="V1798" i="5" s="1"/>
  <c r="R1798" i="5" s="1"/>
  <c r="C1799" i="5"/>
  <c r="V1799" i="5" s="1"/>
  <c r="E1799" i="5" s="1"/>
  <c r="X1799" i="5" s="1"/>
  <c r="C1800" i="5"/>
  <c r="C1801" i="5"/>
  <c r="C1802" i="5"/>
  <c r="C1803" i="5"/>
  <c r="C1804" i="5"/>
  <c r="AB1804" i="5" s="1"/>
  <c r="C1805" i="5"/>
  <c r="V1805" i="5" s="1"/>
  <c r="C1806" i="5"/>
  <c r="C1807" i="5"/>
  <c r="V1807" i="5" s="1"/>
  <c r="E1807" i="5" s="1"/>
  <c r="X1807" i="5" s="1"/>
  <c r="C1808" i="5"/>
  <c r="C1809" i="5"/>
  <c r="V1809" i="5" s="1"/>
  <c r="C1810" i="5"/>
  <c r="V1810" i="5" s="1"/>
  <c r="E1810" i="5" s="1"/>
  <c r="X1810" i="5" s="1"/>
  <c r="C1811" i="5"/>
  <c r="C1812" i="5"/>
  <c r="C1813" i="5"/>
  <c r="C1814" i="5"/>
  <c r="V1814" i="5" s="1"/>
  <c r="C1815" i="5"/>
  <c r="C1816" i="5"/>
  <c r="C1817" i="5"/>
  <c r="V1817" i="5" s="1"/>
  <c r="C1818" i="5"/>
  <c r="C1819" i="5"/>
  <c r="C1820" i="5"/>
  <c r="C1821" i="5"/>
  <c r="C1822" i="5"/>
  <c r="C1823" i="5"/>
  <c r="C1824" i="5"/>
  <c r="V1824" i="5" s="1"/>
  <c r="C1825" i="5"/>
  <c r="C1826" i="5"/>
  <c r="C1827" i="5"/>
  <c r="C1828" i="5"/>
  <c r="C1829" i="5"/>
  <c r="V1829" i="5" s="1"/>
  <c r="C1830" i="5"/>
  <c r="C1831" i="5"/>
  <c r="V1831" i="5" s="1"/>
  <c r="C1832" i="5"/>
  <c r="V1832" i="5" s="1"/>
  <c r="E1832" i="5" s="1"/>
  <c r="X1832" i="5" s="1"/>
  <c r="C1833" i="5"/>
  <c r="AB1833" i="5" s="1"/>
  <c r="C1834" i="5"/>
  <c r="V1834" i="5" s="1"/>
  <c r="C1835" i="5"/>
  <c r="V1835" i="5" s="1"/>
  <c r="E1835" i="5" s="1"/>
  <c r="X1835" i="5" s="1"/>
  <c r="C1836" i="5"/>
  <c r="C1837" i="5"/>
  <c r="C1838" i="5"/>
  <c r="C1839" i="5"/>
  <c r="C1840" i="5"/>
  <c r="V1840" i="5" s="1"/>
  <c r="C1841" i="5"/>
  <c r="C1842" i="5"/>
  <c r="C1843" i="5"/>
  <c r="C1844" i="5"/>
  <c r="V1844" i="5" s="1"/>
  <c r="J1844" i="5" s="1"/>
  <c r="C1845" i="5"/>
  <c r="C1846" i="5"/>
  <c r="C1847" i="5"/>
  <c r="C1848" i="5"/>
  <c r="C1849" i="5"/>
  <c r="V1849" i="5" s="1"/>
  <c r="E1849" i="5" s="1"/>
  <c r="X1849" i="5" s="1"/>
  <c r="C1850" i="5"/>
  <c r="V1850" i="5" s="1"/>
  <c r="C1851" i="5"/>
  <c r="C1852" i="5"/>
  <c r="V1852" i="5" s="1"/>
  <c r="R1852" i="5" s="1"/>
  <c r="C1853" i="5"/>
  <c r="V1853" i="5" s="1"/>
  <c r="C1854" i="5"/>
  <c r="C1855" i="5"/>
  <c r="V1855" i="5" s="1"/>
  <c r="E1855" i="5" s="1"/>
  <c r="X1855" i="5" s="1"/>
  <c r="C1856" i="5"/>
  <c r="C1857" i="5"/>
  <c r="C1858" i="5"/>
  <c r="V1858" i="5" s="1"/>
  <c r="E1858" i="5" s="1"/>
  <c r="X1858" i="5" s="1"/>
  <c r="C1859" i="5"/>
  <c r="C1860" i="5"/>
  <c r="C1861" i="5"/>
  <c r="C1862" i="5"/>
  <c r="C1863" i="5"/>
  <c r="C1864" i="5"/>
  <c r="AB1864" i="5" s="1"/>
  <c r="C1865" i="5"/>
  <c r="V1865" i="5" s="1"/>
  <c r="C1866" i="5"/>
  <c r="C1867" i="5"/>
  <c r="C1868" i="5"/>
  <c r="C1869" i="5"/>
  <c r="V1869" i="5" s="1"/>
  <c r="I1869" i="5" s="1"/>
  <c r="C1870" i="5"/>
  <c r="C1871" i="5"/>
  <c r="C1872" i="5"/>
  <c r="C1873" i="5"/>
  <c r="V1873" i="5" s="1"/>
  <c r="C1874" i="5"/>
  <c r="C1875" i="5"/>
  <c r="C1876" i="5"/>
  <c r="C1877" i="5"/>
  <c r="C1878" i="5"/>
  <c r="C1879" i="5"/>
  <c r="C1880" i="5"/>
  <c r="C1881" i="5"/>
  <c r="C1882" i="5"/>
  <c r="V1882" i="5" s="1"/>
  <c r="C1883" i="5"/>
  <c r="V1883" i="5" s="1"/>
  <c r="C1884" i="5"/>
  <c r="C1885" i="5"/>
  <c r="C1886" i="5"/>
  <c r="C1887" i="5"/>
  <c r="C1888" i="5"/>
  <c r="AB1888" i="5" s="1"/>
  <c r="C1889" i="5"/>
  <c r="V1889" i="5" s="1"/>
  <c r="C1890" i="5"/>
  <c r="C1891" i="5"/>
  <c r="V1891" i="5" s="1"/>
  <c r="E1891" i="5" s="1"/>
  <c r="X1891" i="5" s="1"/>
  <c r="C1892" i="5"/>
  <c r="C1893" i="5"/>
  <c r="C1894" i="5"/>
  <c r="C1895" i="5"/>
  <c r="C1896" i="5"/>
  <c r="C1897" i="5"/>
  <c r="C1898" i="5"/>
  <c r="V1898" i="5" s="1"/>
  <c r="C1899" i="5"/>
  <c r="C1900" i="5"/>
  <c r="C1901" i="5"/>
  <c r="C1902" i="5"/>
  <c r="C1903" i="5"/>
  <c r="V1903" i="5" s="1"/>
  <c r="G1903" i="5" s="1"/>
  <c r="C1904" i="5"/>
  <c r="C1905" i="5"/>
  <c r="C1906" i="5"/>
  <c r="C1907" i="5"/>
  <c r="C1908" i="5"/>
  <c r="C1909" i="5"/>
  <c r="C1910" i="5"/>
  <c r="V1910" i="5" s="1"/>
  <c r="E1910" i="5" s="1"/>
  <c r="X1910" i="5" s="1"/>
  <c r="C1911" i="5"/>
  <c r="C1912" i="5"/>
  <c r="C1913" i="5"/>
  <c r="C1914" i="5"/>
  <c r="C1915" i="5"/>
  <c r="C1916" i="5"/>
  <c r="V1916" i="5" s="1"/>
  <c r="C1917" i="5"/>
  <c r="V1917" i="5" s="1"/>
  <c r="C1918" i="5"/>
  <c r="C1919" i="5"/>
  <c r="C1920" i="5"/>
  <c r="C1921" i="5"/>
  <c r="C1922" i="5"/>
  <c r="C1923" i="5"/>
  <c r="C1924" i="5"/>
  <c r="V1924" i="5" s="1"/>
  <c r="C1925" i="5"/>
  <c r="V1925" i="5" s="1"/>
  <c r="H1925" i="5" s="1"/>
  <c r="C1926" i="5"/>
  <c r="C1927" i="5"/>
  <c r="C1928" i="5"/>
  <c r="C1929" i="5"/>
  <c r="C1930" i="5"/>
  <c r="C1931" i="5"/>
  <c r="AB1931" i="5" s="1"/>
  <c r="C1932" i="5"/>
  <c r="C1933" i="5"/>
  <c r="C1934" i="5"/>
  <c r="V1934" i="5" s="1"/>
  <c r="C1935" i="5"/>
  <c r="C1936" i="5"/>
  <c r="C1937" i="5"/>
  <c r="V1937" i="5" s="1"/>
  <c r="C1938" i="5"/>
  <c r="C1939" i="5"/>
  <c r="C1940" i="5"/>
  <c r="V1940" i="5" s="1"/>
  <c r="C1941" i="5"/>
  <c r="C1942" i="5"/>
  <c r="C1943" i="5"/>
  <c r="C1944" i="5"/>
  <c r="C1945" i="5"/>
  <c r="C1946" i="5"/>
  <c r="C1947" i="5"/>
  <c r="C1948" i="5"/>
  <c r="C1949" i="5"/>
  <c r="V1949" i="5" s="1"/>
  <c r="C1950" i="5"/>
  <c r="C1951" i="5"/>
  <c r="V1951" i="5" s="1"/>
  <c r="E1951" i="5" s="1"/>
  <c r="X1951" i="5" s="1"/>
  <c r="C1952" i="5"/>
  <c r="C1953" i="5"/>
  <c r="AB1953" i="5" s="1"/>
  <c r="C1954" i="5"/>
  <c r="C1955" i="5"/>
  <c r="C1956" i="5"/>
  <c r="V1956" i="5" s="1"/>
  <c r="F1956" i="5" s="1"/>
  <c r="C1957" i="5"/>
  <c r="C1958" i="5"/>
  <c r="C1959" i="5"/>
  <c r="C1960" i="5"/>
  <c r="V1960" i="5" s="1"/>
  <c r="C1961" i="5"/>
  <c r="V1961" i="5" s="1"/>
  <c r="C1962" i="5"/>
  <c r="C1963" i="5"/>
  <c r="C1964" i="5"/>
  <c r="C1965" i="5"/>
  <c r="C1966" i="5"/>
  <c r="AB1966" i="5" s="1"/>
  <c r="C1967" i="5"/>
  <c r="C1968" i="5"/>
  <c r="C1969" i="5"/>
  <c r="C1970" i="5"/>
  <c r="C1971" i="5"/>
  <c r="C1972" i="5"/>
  <c r="C1973" i="5"/>
  <c r="C1974" i="5"/>
  <c r="V1974" i="5" s="1"/>
  <c r="C1975" i="5"/>
  <c r="C1976" i="5"/>
  <c r="C1977" i="5"/>
  <c r="C1978" i="5"/>
  <c r="V1978" i="5" s="1"/>
  <c r="C1979" i="5"/>
  <c r="C1980" i="5"/>
  <c r="C1981" i="5"/>
  <c r="C1982" i="5"/>
  <c r="C1983" i="5"/>
  <c r="C1984" i="5"/>
  <c r="V1984" i="5" s="1"/>
  <c r="H1984" i="5" s="1"/>
  <c r="C1985" i="5"/>
  <c r="C1986" i="5"/>
  <c r="C1987" i="5"/>
  <c r="V1987" i="5" s="1"/>
  <c r="C1988" i="5"/>
  <c r="C1989" i="5"/>
  <c r="V1989" i="5" s="1"/>
  <c r="C1990" i="5"/>
  <c r="V1990" i="5" s="1"/>
  <c r="E1990" i="5" s="1"/>
  <c r="X1990" i="5" s="1"/>
  <c r="C1991" i="5"/>
  <c r="V1991" i="5" s="1"/>
  <c r="C1992" i="5"/>
  <c r="C1993" i="5"/>
  <c r="C1994" i="5"/>
  <c r="C1995" i="5"/>
  <c r="C1996" i="5"/>
  <c r="V1996" i="5" s="1"/>
  <c r="C1997" i="5"/>
  <c r="C1998" i="5"/>
  <c r="C1999" i="5"/>
  <c r="C2000" i="5"/>
  <c r="C2001" i="5"/>
  <c r="C2002" i="5"/>
  <c r="C2003" i="5"/>
  <c r="C2004" i="5"/>
  <c r="C2005" i="5"/>
  <c r="C2006" i="5"/>
  <c r="V2006" i="5" s="1"/>
  <c r="G2006" i="5" s="1"/>
  <c r="C2007" i="5"/>
  <c r="C2008" i="5"/>
  <c r="V2008" i="5" s="1"/>
  <c r="R2008" i="5" s="1"/>
  <c r="C2009" i="5"/>
  <c r="C2010" i="5"/>
  <c r="C2011" i="5"/>
  <c r="V2011" i="5" s="1"/>
  <c r="C2012" i="5"/>
  <c r="C2013" i="5"/>
  <c r="C2014" i="5"/>
  <c r="V2014" i="5" s="1"/>
  <c r="C2015" i="5"/>
  <c r="V2015" i="5" s="1"/>
  <c r="C2016" i="5"/>
  <c r="C2017" i="5"/>
  <c r="AB2017" i="5" s="1"/>
  <c r="C2018" i="5"/>
  <c r="C2019" i="5"/>
  <c r="C2020" i="5"/>
  <c r="AB2020" i="5" s="1"/>
  <c r="C2021" i="5"/>
  <c r="C2022" i="5"/>
  <c r="C2023" i="5"/>
  <c r="V2023" i="5" s="1"/>
  <c r="C2024" i="5"/>
  <c r="V2024" i="5" s="1"/>
  <c r="E2024" i="5" s="1"/>
  <c r="X2024" i="5" s="1"/>
  <c r="C2025" i="5"/>
  <c r="V2025" i="5" s="1"/>
  <c r="C2026" i="5"/>
  <c r="C2027" i="5"/>
  <c r="C2028" i="5"/>
  <c r="C2029" i="5"/>
  <c r="C2030" i="5"/>
  <c r="C2031" i="5"/>
  <c r="C2032" i="5"/>
  <c r="C2033" i="5"/>
  <c r="C2034" i="5"/>
  <c r="C2035" i="5"/>
  <c r="C2036" i="5"/>
  <c r="V2036" i="5" s="1"/>
  <c r="G2036" i="5" s="1"/>
  <c r="C2037" i="5"/>
  <c r="C2038" i="5"/>
  <c r="C2039" i="5"/>
  <c r="C2040" i="5"/>
  <c r="V2040" i="5" s="1"/>
  <c r="C2041" i="5"/>
  <c r="C2042" i="5"/>
  <c r="C2043" i="5"/>
  <c r="C2044" i="5"/>
  <c r="V2044" i="5" s="1"/>
  <c r="J2044" i="5" s="1"/>
  <c r="C2045" i="5"/>
  <c r="C2046" i="5"/>
  <c r="V2046" i="5" s="1"/>
  <c r="G2046" i="5" s="1"/>
  <c r="C2047" i="5"/>
  <c r="C2048" i="5"/>
  <c r="V2048" i="5" s="1"/>
  <c r="I2048" i="5" s="1"/>
  <c r="C2049" i="5"/>
  <c r="C2050" i="5"/>
  <c r="C2051" i="5"/>
  <c r="C2052" i="5"/>
  <c r="C2053" i="5"/>
  <c r="C2054" i="5"/>
  <c r="C2055" i="5"/>
  <c r="C2056" i="5"/>
  <c r="V2056" i="5" s="1"/>
  <c r="H2056" i="5" s="1"/>
  <c r="C2057" i="5"/>
  <c r="V2057" i="5" s="1"/>
  <c r="H2057" i="5" s="1"/>
  <c r="C2058" i="5"/>
  <c r="C2059" i="5"/>
  <c r="V2059" i="5" s="1"/>
  <c r="C2060" i="5"/>
  <c r="C2061" i="5"/>
  <c r="C2062" i="5"/>
  <c r="V2062" i="5" s="1"/>
  <c r="C2063" i="5"/>
  <c r="V2063" i="5" s="1"/>
  <c r="E2063" i="5" s="1"/>
  <c r="X2063" i="5" s="1"/>
  <c r="C2064" i="5"/>
  <c r="C2065" i="5"/>
  <c r="C2066" i="5"/>
  <c r="C2067" i="5"/>
  <c r="C2068" i="5"/>
  <c r="C2069" i="5"/>
  <c r="C2070" i="5"/>
  <c r="C2071" i="5"/>
  <c r="V2071" i="5" s="1"/>
  <c r="E2071" i="5" s="1"/>
  <c r="X2071" i="5" s="1"/>
  <c r="C2072" i="5"/>
  <c r="V2072" i="5" s="1"/>
  <c r="C2073" i="5"/>
  <c r="V2073" i="5" s="1"/>
  <c r="C2074" i="5"/>
  <c r="C2075" i="5"/>
  <c r="C2076" i="5"/>
  <c r="V2076" i="5" s="1"/>
  <c r="C2077" i="5"/>
  <c r="C2078" i="5"/>
  <c r="V2078" i="5" s="1"/>
  <c r="C2079" i="5"/>
  <c r="C2080" i="5"/>
  <c r="C2081" i="5"/>
  <c r="V2081" i="5" s="1"/>
  <c r="I2081" i="5" s="1"/>
  <c r="C2082" i="5"/>
  <c r="C2083" i="5"/>
  <c r="C2084" i="5"/>
  <c r="C2085" i="5"/>
  <c r="C2086" i="5"/>
  <c r="C2087" i="5"/>
  <c r="C2088" i="5"/>
  <c r="V2088" i="5" s="1"/>
  <c r="C2089" i="5"/>
  <c r="C2090" i="5"/>
  <c r="V2090" i="5" s="1"/>
  <c r="E2090" i="5" s="1"/>
  <c r="X2090" i="5" s="1"/>
  <c r="C2091" i="5"/>
  <c r="C2092" i="5"/>
  <c r="V2092" i="5" s="1"/>
  <c r="C2093" i="5"/>
  <c r="V2093" i="5" s="1"/>
  <c r="I2093" i="5" s="1"/>
  <c r="C2094" i="5"/>
  <c r="C2095" i="5"/>
  <c r="C2096" i="5"/>
  <c r="V2096" i="5" s="1"/>
  <c r="G2096" i="5" s="1"/>
  <c r="C2097" i="5"/>
  <c r="V2097" i="5" s="1"/>
  <c r="C2098" i="5"/>
  <c r="AB2098" i="5" s="1"/>
  <c r="C2099" i="5"/>
  <c r="C2100" i="5"/>
  <c r="C2101" i="5"/>
  <c r="C2102" i="5"/>
  <c r="C2103" i="5"/>
  <c r="C2104" i="5"/>
  <c r="V2104" i="5" s="1"/>
  <c r="C2105" i="5"/>
  <c r="V2105" i="5" s="1"/>
  <c r="C2106" i="5"/>
  <c r="V2106" i="5" s="1"/>
  <c r="C2107" i="5"/>
  <c r="C2108" i="5"/>
  <c r="C2109" i="5"/>
  <c r="AB2109" i="5" s="1"/>
  <c r="C2110" i="5"/>
  <c r="C2111" i="5"/>
  <c r="C2112" i="5"/>
  <c r="C2113" i="5"/>
  <c r="V2113" i="5" s="1"/>
  <c r="E2113" i="5" s="1"/>
  <c r="X2113" i="5" s="1"/>
  <c r="C2114" i="5"/>
  <c r="V2114" i="5" s="1"/>
  <c r="C2115" i="5"/>
  <c r="C2116" i="5"/>
  <c r="C2117" i="5"/>
  <c r="C2118" i="5"/>
  <c r="C2119" i="5"/>
  <c r="AB2119" i="5" s="1"/>
  <c r="C2120" i="5"/>
  <c r="C2121" i="5"/>
  <c r="C2122" i="5"/>
  <c r="C2123" i="5"/>
  <c r="C2124" i="5"/>
  <c r="V2124" i="5" s="1"/>
  <c r="C2125" i="5"/>
  <c r="C2126" i="5"/>
  <c r="C2127" i="5"/>
  <c r="C2128" i="5"/>
  <c r="V2128" i="5" s="1"/>
  <c r="C2129" i="5"/>
  <c r="V2129" i="5" s="1"/>
  <c r="C2130" i="5"/>
  <c r="C2131" i="5"/>
  <c r="V2131" i="5" s="1"/>
  <c r="C2132" i="5"/>
  <c r="V2132" i="5" s="1"/>
  <c r="F2132" i="5" s="1"/>
  <c r="C2133" i="5"/>
  <c r="V2133" i="5" s="1"/>
  <c r="C2134" i="5"/>
  <c r="V2134" i="5" s="1"/>
  <c r="H2134" i="5" s="1"/>
  <c r="C2135" i="5"/>
  <c r="C2136" i="5"/>
  <c r="C2137" i="5"/>
  <c r="AB2137" i="5" s="1"/>
  <c r="C2138" i="5"/>
  <c r="C2139" i="5"/>
  <c r="C2140" i="5"/>
  <c r="V2140" i="5" s="1"/>
  <c r="C2141" i="5"/>
  <c r="C2142" i="5"/>
  <c r="C2143" i="5"/>
  <c r="C2144" i="5"/>
  <c r="V2144" i="5" s="1"/>
  <c r="C2145" i="5"/>
  <c r="V2145" i="5" s="1"/>
  <c r="C2146" i="5"/>
  <c r="V2146" i="5" s="1"/>
  <c r="C2147" i="5"/>
  <c r="AB2147" i="5" s="1"/>
  <c r="C2148" i="5"/>
  <c r="C2149" i="5"/>
  <c r="C2150" i="5"/>
  <c r="C2151" i="5"/>
  <c r="C2152" i="5"/>
  <c r="V2152" i="5" s="1"/>
  <c r="C2153" i="5"/>
  <c r="V2153" i="5" s="1"/>
  <c r="E2153" i="5" s="1"/>
  <c r="X2153" i="5" s="1"/>
  <c r="C2154" i="5"/>
  <c r="C2155" i="5"/>
  <c r="C2156" i="5"/>
  <c r="C2157" i="5"/>
  <c r="C2158" i="5"/>
  <c r="AB2158" i="5" s="1"/>
  <c r="C2159" i="5"/>
  <c r="C2160" i="5"/>
  <c r="C2161" i="5"/>
  <c r="AB2161" i="5" s="1"/>
  <c r="C2162" i="5"/>
  <c r="C2163" i="5"/>
  <c r="C2164" i="5"/>
  <c r="V2164" i="5" s="1"/>
  <c r="C2165" i="5"/>
  <c r="V2165" i="5" s="1"/>
  <c r="C2166" i="5"/>
  <c r="C2167" i="5"/>
  <c r="C2168" i="5"/>
  <c r="V2168" i="5" s="1"/>
  <c r="C2169" i="5"/>
  <c r="C2170" i="5"/>
  <c r="V2170" i="5" s="1"/>
  <c r="C2171" i="5"/>
  <c r="C2172" i="5"/>
  <c r="C2173" i="5"/>
  <c r="C2174" i="5"/>
  <c r="V2174" i="5" s="1"/>
  <c r="C2175" i="5"/>
  <c r="C2176" i="5"/>
  <c r="V2176" i="5" s="1"/>
  <c r="C2177" i="5"/>
  <c r="V2177" i="5" s="1"/>
  <c r="C2178" i="5"/>
  <c r="C2179" i="5"/>
  <c r="V2179" i="5" s="1"/>
  <c r="C2180" i="5"/>
  <c r="C2181" i="5"/>
  <c r="C2182" i="5"/>
  <c r="V2182" i="5" s="1"/>
  <c r="C2183" i="5"/>
  <c r="C2184" i="5"/>
  <c r="C2185" i="5"/>
  <c r="C2186" i="5"/>
  <c r="C2187" i="5"/>
  <c r="C2188" i="5"/>
  <c r="AB2188" i="5" s="1"/>
  <c r="C2189" i="5"/>
  <c r="V2189" i="5" s="1"/>
  <c r="C2190" i="5"/>
  <c r="V2190" i="5" s="1"/>
  <c r="C2191" i="5"/>
  <c r="V2191" i="5" s="1"/>
  <c r="C2192" i="5"/>
  <c r="V2192" i="5" s="1"/>
  <c r="E2192" i="5" s="1"/>
  <c r="X2192" i="5" s="1"/>
  <c r="C2193" i="5"/>
  <c r="C2194" i="5"/>
  <c r="C2195" i="5"/>
  <c r="C2196" i="5"/>
  <c r="V2196" i="5" s="1"/>
  <c r="E2196" i="5" s="1"/>
  <c r="X2196" i="5" s="1"/>
  <c r="C2197" i="5"/>
  <c r="C2198" i="5"/>
  <c r="C2199" i="5"/>
  <c r="C2200" i="5"/>
  <c r="C2201" i="5"/>
  <c r="V2201" i="5" s="1"/>
  <c r="C2202" i="5"/>
  <c r="C2203" i="5"/>
  <c r="AB2203" i="5" s="1"/>
  <c r="C2204" i="5"/>
  <c r="C2205" i="5"/>
  <c r="C2206" i="5"/>
  <c r="AB2206" i="5" s="1"/>
  <c r="C2207" i="5"/>
  <c r="V2207" i="5" s="1"/>
  <c r="J2207" i="5" s="1"/>
  <c r="C2208" i="5"/>
  <c r="V2208" i="5" s="1"/>
  <c r="C2209" i="5"/>
  <c r="C2210" i="5"/>
  <c r="C2211" i="5"/>
  <c r="C2212" i="5"/>
  <c r="C2213" i="5"/>
  <c r="V2213" i="5" s="1"/>
  <c r="C2214" i="5"/>
  <c r="C2215" i="5"/>
  <c r="V2215" i="5" s="1"/>
  <c r="C2216" i="5"/>
  <c r="C2217" i="5"/>
  <c r="C2218" i="5"/>
  <c r="C2219" i="5"/>
  <c r="C2220" i="5"/>
  <c r="V2220" i="5" s="1"/>
  <c r="C2221" i="5"/>
  <c r="C2222" i="5"/>
  <c r="C2223" i="5"/>
  <c r="C2224" i="5"/>
  <c r="C2225" i="5"/>
  <c r="V2225" i="5" s="1"/>
  <c r="C2226" i="5"/>
  <c r="C2227" i="5"/>
  <c r="V2227" i="5" s="1"/>
  <c r="I2227" i="5" s="1"/>
  <c r="C2228" i="5"/>
  <c r="C2229" i="5"/>
  <c r="V2229" i="5" s="1"/>
  <c r="C2230" i="5"/>
  <c r="C2231" i="5"/>
  <c r="C2232" i="5"/>
  <c r="C2233" i="5"/>
  <c r="C2234" i="5"/>
  <c r="C2235" i="5"/>
  <c r="C2236" i="5"/>
  <c r="AB2236" i="5" s="1"/>
  <c r="C2237" i="5"/>
  <c r="V2237" i="5" s="1"/>
  <c r="E2237" i="5" s="1"/>
  <c r="X2237" i="5" s="1"/>
  <c r="C2238" i="5"/>
  <c r="C2239" i="5"/>
  <c r="C2240" i="5"/>
  <c r="V2240" i="5" s="1"/>
  <c r="C2241" i="5"/>
  <c r="V2241" i="5" s="1"/>
  <c r="C2242" i="5"/>
  <c r="V2242" i="5" s="1"/>
  <c r="E2242" i="5" s="1"/>
  <c r="X2242" i="5" s="1"/>
  <c r="C2243" i="5"/>
  <c r="C2244" i="5"/>
  <c r="C2245" i="5"/>
  <c r="C2246" i="5"/>
  <c r="C2247" i="5"/>
  <c r="C2248" i="5"/>
  <c r="V2248" i="5" s="1"/>
  <c r="J2248" i="5" s="1"/>
  <c r="C2249" i="5"/>
  <c r="V2249" i="5" s="1"/>
  <c r="C2250" i="5"/>
  <c r="C2251" i="5"/>
  <c r="C2252" i="5"/>
  <c r="C2253" i="5"/>
  <c r="V2253" i="5" s="1"/>
  <c r="J2253" i="5" s="1"/>
  <c r="C2254" i="5"/>
  <c r="C2255" i="5"/>
  <c r="C2256" i="5"/>
  <c r="V2256" i="5" s="1"/>
  <c r="C2257" i="5"/>
  <c r="C2258" i="5"/>
  <c r="C2259" i="5"/>
  <c r="C2260" i="5"/>
  <c r="C2261" i="5"/>
  <c r="V2261" i="5" s="1"/>
  <c r="C2262" i="5"/>
  <c r="C2263" i="5"/>
  <c r="C2264" i="5"/>
  <c r="C2265" i="5"/>
  <c r="C2266" i="5"/>
  <c r="V2266" i="5" s="1"/>
  <c r="E2266" i="5" s="1"/>
  <c r="X2266" i="5" s="1"/>
  <c r="C2267" i="5"/>
  <c r="C2268" i="5"/>
  <c r="C2269" i="5"/>
  <c r="C2270" i="5"/>
  <c r="C2271" i="5"/>
  <c r="C2272" i="5"/>
  <c r="C2273" i="5"/>
  <c r="C2274" i="5"/>
  <c r="C2275" i="5"/>
  <c r="C2276" i="5"/>
  <c r="C2277" i="5"/>
  <c r="C2278" i="5"/>
  <c r="V2278" i="5" s="1"/>
  <c r="E2278" i="5" s="1"/>
  <c r="X2278" i="5" s="1"/>
  <c r="C2279" i="5"/>
  <c r="C2280" i="5"/>
  <c r="V2280" i="5" s="1"/>
  <c r="C2281" i="5"/>
  <c r="V2281" i="5" s="1"/>
  <c r="E2281" i="5" s="1"/>
  <c r="X2281" i="5" s="1"/>
  <c r="C2282" i="5"/>
  <c r="C2283" i="5"/>
  <c r="C2284" i="5"/>
  <c r="C2285" i="5"/>
  <c r="V2285" i="5" s="1"/>
  <c r="E2285" i="5" s="1"/>
  <c r="X2285" i="5" s="1"/>
  <c r="C2286" i="5"/>
  <c r="C2287" i="5"/>
  <c r="V2287" i="5" s="1"/>
  <c r="C2288" i="5"/>
  <c r="C2289" i="5"/>
  <c r="C2290" i="5"/>
  <c r="C2291" i="5"/>
  <c r="V2291" i="5" s="1"/>
  <c r="C2292" i="5"/>
  <c r="C2293" i="5"/>
  <c r="C2294" i="5"/>
  <c r="C2295" i="5"/>
  <c r="C2296" i="5"/>
  <c r="C2297" i="5"/>
  <c r="V2297" i="5" s="1"/>
  <c r="C2298" i="5"/>
  <c r="C2299" i="5"/>
  <c r="C2300" i="5"/>
  <c r="V2300" i="5" s="1"/>
  <c r="E2300" i="5" s="1"/>
  <c r="X2300" i="5" s="1"/>
  <c r="C2301" i="5"/>
  <c r="V2301" i="5" s="1"/>
  <c r="J2301" i="5" s="1"/>
  <c r="C2302" i="5"/>
  <c r="C2303" i="5"/>
  <c r="V2303" i="5" s="1"/>
  <c r="F2303" i="5" s="1"/>
  <c r="C2304" i="5"/>
  <c r="C2305" i="5"/>
  <c r="C2306" i="5"/>
  <c r="C2307" i="5"/>
  <c r="C2308" i="5"/>
  <c r="V2308" i="5" s="1"/>
  <c r="C2309" i="5"/>
  <c r="V2309" i="5" s="1"/>
  <c r="E2309" i="5" s="1"/>
  <c r="X2309" i="5" s="1"/>
  <c r="C2310" i="5"/>
  <c r="C2311" i="5"/>
  <c r="V2311" i="5" s="1"/>
  <c r="I2311" i="5" s="1"/>
  <c r="C2312" i="5"/>
  <c r="V2312" i="5" s="1"/>
  <c r="E2312" i="5" s="1"/>
  <c r="X2312" i="5" s="1"/>
  <c r="C2313" i="5"/>
  <c r="V2313" i="5" s="1"/>
  <c r="C2314" i="5"/>
  <c r="V2314" i="5" s="1"/>
  <c r="E2314" i="5" s="1"/>
  <c r="X2314" i="5" s="1"/>
  <c r="C2315" i="5"/>
  <c r="V2315" i="5" s="1"/>
  <c r="E2315" i="5" s="1"/>
  <c r="X2315" i="5" s="1"/>
  <c r="C2316" i="5"/>
  <c r="C2317" i="5"/>
  <c r="C2318" i="5"/>
  <c r="C2319" i="5"/>
  <c r="C2320" i="5"/>
  <c r="V2320" i="5" s="1"/>
  <c r="C2321" i="5"/>
  <c r="C2322" i="5"/>
  <c r="C2323" i="5"/>
  <c r="C2324" i="5"/>
  <c r="C2325" i="5"/>
  <c r="V2325" i="5" s="1"/>
  <c r="C2326" i="5"/>
  <c r="C2327" i="5"/>
  <c r="C2328" i="5"/>
  <c r="C2329" i="5"/>
  <c r="C2330" i="5"/>
  <c r="V2330" i="5" s="1"/>
  <c r="J2330" i="5" s="1"/>
  <c r="C2331" i="5"/>
  <c r="C2332" i="5"/>
  <c r="C2333" i="5"/>
  <c r="C2334" i="5"/>
  <c r="C2335" i="5"/>
  <c r="C2336" i="5"/>
  <c r="V2336" i="5" s="1"/>
  <c r="E2336" i="5" s="1"/>
  <c r="X2336" i="5" s="1"/>
  <c r="C2337" i="5"/>
  <c r="V2337" i="5" s="1"/>
  <c r="I2337" i="5" s="1"/>
  <c r="C2338" i="5"/>
  <c r="C2339" i="5"/>
  <c r="C2340" i="5"/>
  <c r="V2340" i="5" s="1"/>
  <c r="E2340" i="5" s="1"/>
  <c r="X2340" i="5" s="1"/>
  <c r="C2341" i="5"/>
  <c r="C2342" i="5"/>
  <c r="C2343" i="5"/>
  <c r="C2344" i="5"/>
  <c r="V2344" i="5" s="1"/>
  <c r="J2344" i="5" s="1"/>
  <c r="C2345" i="5"/>
  <c r="C2346" i="5"/>
  <c r="C2347" i="5"/>
  <c r="V2347" i="5" s="1"/>
  <c r="C2348" i="5"/>
  <c r="C2349" i="5"/>
  <c r="C2350" i="5"/>
  <c r="C2351" i="5"/>
  <c r="C2352" i="5"/>
  <c r="C2353" i="5"/>
  <c r="C2354" i="5"/>
  <c r="V2354" i="5" s="1"/>
  <c r="E2354" i="5" s="1"/>
  <c r="X2354" i="5" s="1"/>
  <c r="C2355" i="5"/>
  <c r="C2356" i="5"/>
  <c r="C2357" i="5"/>
  <c r="V2357" i="5" s="1"/>
  <c r="E2357" i="5" s="1"/>
  <c r="X2357" i="5" s="1"/>
  <c r="C2358" i="5"/>
  <c r="C2359" i="5"/>
  <c r="V2359" i="5" s="1"/>
  <c r="C2360" i="5"/>
  <c r="V2360" i="5" s="1"/>
  <c r="E2360" i="5" s="1"/>
  <c r="X2360" i="5" s="1"/>
  <c r="C2361" i="5"/>
  <c r="V2361" i="5" s="1"/>
  <c r="J2361" i="5" s="1"/>
  <c r="C2362" i="5"/>
  <c r="V2362" i="5" s="1"/>
  <c r="C2363" i="5"/>
  <c r="C2364" i="5"/>
  <c r="V2364" i="5" s="1"/>
  <c r="C2365" i="5"/>
  <c r="C2366" i="5"/>
  <c r="C2367" i="5"/>
  <c r="C2368" i="5"/>
  <c r="AB2368" i="5" s="1"/>
  <c r="C2369" i="5"/>
  <c r="V2369" i="5" s="1"/>
  <c r="E2369" i="5" s="1"/>
  <c r="X2369" i="5" s="1"/>
  <c r="C2370" i="5"/>
  <c r="C2371" i="5"/>
  <c r="C2372" i="5"/>
  <c r="C2373" i="5"/>
  <c r="AB2373" i="5" s="1"/>
  <c r="C2374" i="5"/>
  <c r="C2375" i="5"/>
  <c r="V2375" i="5" s="1"/>
  <c r="C2376" i="5"/>
  <c r="V2376" i="5" s="1"/>
  <c r="C2377" i="5"/>
  <c r="V2377" i="5" s="1"/>
  <c r="E2377" i="5" s="1"/>
  <c r="X2377" i="5" s="1"/>
  <c r="C2378" i="5"/>
  <c r="C2379" i="5"/>
  <c r="C2380" i="5"/>
  <c r="C2381" i="5"/>
  <c r="C2382" i="5"/>
  <c r="C2383" i="5"/>
  <c r="V2383" i="5" s="1"/>
  <c r="C2384" i="5"/>
  <c r="V2384" i="5" s="1"/>
  <c r="C2385" i="5"/>
  <c r="C2386" i="5"/>
  <c r="C2387" i="5"/>
  <c r="C2388" i="5"/>
  <c r="C2389" i="5"/>
  <c r="C2390" i="5"/>
  <c r="C2391" i="5"/>
  <c r="C2392" i="5"/>
  <c r="C2393" i="5"/>
  <c r="V2393" i="5" s="1"/>
  <c r="C2394" i="5"/>
  <c r="C2395" i="5"/>
  <c r="C2396" i="5"/>
  <c r="V2396" i="5" s="1"/>
  <c r="E2396" i="5" s="1"/>
  <c r="X2396" i="5" s="1"/>
  <c r="C2397" i="5"/>
  <c r="C2398" i="5"/>
  <c r="C2399" i="5"/>
  <c r="C2400" i="5"/>
  <c r="V2400" i="5" s="1"/>
  <c r="C2401" i="5"/>
  <c r="C2402" i="5"/>
  <c r="C2403" i="5"/>
  <c r="C2404" i="5"/>
  <c r="AB2404" i="5" s="1"/>
  <c r="C2405" i="5"/>
  <c r="C2406" i="5"/>
  <c r="C2407" i="5"/>
  <c r="V2407" i="5" s="1"/>
  <c r="E2407" i="5" s="1"/>
  <c r="X2407" i="5" s="1"/>
  <c r="C2408" i="5"/>
  <c r="C2409" i="5"/>
  <c r="C2410" i="5"/>
  <c r="C2411" i="5"/>
  <c r="C2412" i="5"/>
  <c r="V2412" i="5" s="1"/>
  <c r="E2412" i="5" s="1"/>
  <c r="X2412" i="5" s="1"/>
  <c r="C2413" i="5"/>
  <c r="C2414" i="5"/>
  <c r="C2415" i="5"/>
  <c r="C2416" i="5"/>
  <c r="V2416" i="5" s="1"/>
  <c r="R2416" i="5" s="1"/>
  <c r="C2417" i="5"/>
  <c r="V2417" i="5" s="1"/>
  <c r="E2417" i="5" s="1"/>
  <c r="X2417" i="5" s="1"/>
  <c r="C2418" i="5"/>
  <c r="C2419" i="5"/>
  <c r="C2420" i="5"/>
  <c r="C2421" i="5"/>
  <c r="C2422" i="5"/>
  <c r="V2422" i="5" s="1"/>
  <c r="C2423" i="5"/>
  <c r="C2424" i="5"/>
  <c r="V2424" i="5" s="1"/>
  <c r="E2424" i="5" s="1"/>
  <c r="X2424" i="5" s="1"/>
  <c r="C2425" i="5"/>
  <c r="C2426" i="5"/>
  <c r="C2427" i="5"/>
  <c r="C2428" i="5"/>
  <c r="C2429" i="5"/>
  <c r="V2429" i="5" s="1"/>
  <c r="E2429" i="5" s="1"/>
  <c r="X2429" i="5" s="1"/>
  <c r="C2430" i="5"/>
  <c r="C2431" i="5"/>
  <c r="V2431" i="5" s="1"/>
  <c r="C2432" i="5"/>
  <c r="C2433" i="5"/>
  <c r="C2434" i="5"/>
  <c r="V2434" i="5" s="1"/>
  <c r="C2435" i="5"/>
  <c r="V2435" i="5" s="1"/>
  <c r="E2435" i="5" s="1"/>
  <c r="X2435" i="5" s="1"/>
  <c r="C2436" i="5"/>
  <c r="C2437" i="5"/>
  <c r="C2438" i="5"/>
  <c r="V2438" i="5" s="1"/>
  <c r="C2439" i="5"/>
  <c r="C2440" i="5"/>
  <c r="C2441" i="5"/>
  <c r="V2441" i="5" s="1"/>
  <c r="H2441" i="5" s="1"/>
  <c r="C2442" i="5"/>
  <c r="C2443" i="5"/>
  <c r="C2444" i="5"/>
  <c r="C2445" i="5"/>
  <c r="C2446" i="5"/>
  <c r="C2447" i="5"/>
  <c r="C2448" i="5"/>
  <c r="C2449" i="5"/>
  <c r="C2450" i="5"/>
  <c r="C2451" i="5"/>
  <c r="C2452" i="5"/>
  <c r="V2452" i="5" s="1"/>
  <c r="H2452" i="5" s="1"/>
  <c r="C2453" i="5"/>
  <c r="C2454" i="5"/>
  <c r="C2455" i="5"/>
  <c r="C2456" i="5"/>
  <c r="C2457" i="5"/>
  <c r="C2458" i="5"/>
  <c r="V2458" i="5" s="1"/>
  <c r="C2459" i="5"/>
  <c r="C2460" i="5"/>
  <c r="V2460" i="5" s="1"/>
  <c r="C2461" i="5"/>
  <c r="C2462" i="5"/>
  <c r="C2463" i="5"/>
  <c r="C2464" i="5"/>
  <c r="V2464" i="5" s="1"/>
  <c r="C2465" i="5"/>
  <c r="V2465" i="5" s="1"/>
  <c r="C2466" i="5"/>
  <c r="C2467" i="5"/>
  <c r="C2468" i="5"/>
  <c r="C2469" i="5"/>
  <c r="C2470" i="5"/>
  <c r="V2470" i="5" s="1"/>
  <c r="E2470" i="5" s="1"/>
  <c r="X2470" i="5" s="1"/>
  <c r="C2471" i="5"/>
  <c r="C2472" i="5"/>
  <c r="C2473" i="5"/>
  <c r="C2474" i="5"/>
  <c r="C2475" i="5"/>
  <c r="C2476" i="5"/>
  <c r="V2476" i="5" s="1"/>
  <c r="F2476" i="5" s="1"/>
  <c r="C2477" i="5"/>
  <c r="C2478" i="5"/>
  <c r="V2478" i="5" s="1"/>
  <c r="C2479" i="5"/>
  <c r="C2480" i="5"/>
  <c r="V2480" i="5" s="1"/>
  <c r="E2480" i="5" s="1"/>
  <c r="X2480" i="5" s="1"/>
  <c r="C2481" i="5"/>
  <c r="C2482" i="5"/>
  <c r="V2482" i="5" s="1"/>
  <c r="E2482" i="5" s="1"/>
  <c r="X2482" i="5" s="1"/>
  <c r="C2483" i="5"/>
  <c r="V2483" i="5" s="1"/>
  <c r="C2484" i="5"/>
  <c r="C2485" i="5"/>
  <c r="C2486" i="5"/>
  <c r="C2487" i="5"/>
  <c r="C2488" i="5"/>
  <c r="C2489" i="5"/>
  <c r="V2489" i="5" s="1"/>
  <c r="C2490" i="5"/>
  <c r="C2491" i="5"/>
  <c r="V2491" i="5" s="1"/>
  <c r="C2492" i="5"/>
  <c r="C2493" i="5"/>
  <c r="C2494" i="5"/>
  <c r="V2494" i="5" s="1"/>
  <c r="J2494" i="5" s="1"/>
  <c r="C2495" i="5"/>
  <c r="C2496" i="5"/>
  <c r="C2497" i="5"/>
  <c r="C2498" i="5"/>
  <c r="C2499" i="5"/>
  <c r="C2500" i="5"/>
  <c r="V2500" i="5" s="1"/>
  <c r="J2500" i="5" s="1"/>
  <c r="C2501" i="5"/>
  <c r="V2501" i="5" s="1"/>
  <c r="E2501" i="5" s="1"/>
  <c r="C2502" i="5"/>
  <c r="C2503" i="5"/>
  <c r="V2503" i="5" s="1"/>
  <c r="F2503" i="5" s="1"/>
  <c r="C2504" i="5"/>
  <c r="V6" i="5"/>
  <c r="R6" i="5" s="1"/>
  <c r="X6" i="5"/>
  <c r="V7" i="5"/>
  <c r="R7" i="5" s="1"/>
  <c r="X7" i="5"/>
  <c r="V8" i="5"/>
  <c r="X8" i="5"/>
  <c r="V9" i="5"/>
  <c r="X9" i="5"/>
  <c r="V10" i="5"/>
  <c r="R10" i="5" s="1"/>
  <c r="X10" i="5"/>
  <c r="V11" i="5"/>
  <c r="X11" i="5"/>
  <c r="V12" i="5"/>
  <c r="R12" i="5" s="1"/>
  <c r="X12" i="5"/>
  <c r="V13" i="5"/>
  <c r="R13" i="5" s="1"/>
  <c r="X13" i="5"/>
  <c r="V14" i="5"/>
  <c r="R14" i="5" s="1"/>
  <c r="X14" i="5"/>
  <c r="V15" i="5"/>
  <c r="R15" i="5" s="1"/>
  <c r="X15" i="5"/>
  <c r="V16" i="5"/>
  <c r="R16" i="5" s="1"/>
  <c r="X16" i="5"/>
  <c r="V17" i="5"/>
  <c r="R17" i="5" s="1"/>
  <c r="X17" i="5"/>
  <c r="V18" i="5"/>
  <c r="R18" i="5" s="1"/>
  <c r="X18" i="5"/>
  <c r="V19" i="5"/>
  <c r="R19" i="5" s="1"/>
  <c r="X19" i="5"/>
  <c r="V20" i="5"/>
  <c r="R20" i="5" s="1"/>
  <c r="X20" i="5"/>
  <c r="V21" i="5"/>
  <c r="R21" i="5" s="1"/>
  <c r="X21" i="5"/>
  <c r="V22" i="5"/>
  <c r="R22" i="5" s="1"/>
  <c r="X22" i="5"/>
  <c r="V23" i="5"/>
  <c r="R23" i="5" s="1"/>
  <c r="X23" i="5"/>
  <c r="V24" i="5"/>
  <c r="R24" i="5" s="1"/>
  <c r="X24" i="5"/>
  <c r="V26" i="5"/>
  <c r="R26" i="5" s="1"/>
  <c r="X26" i="5"/>
  <c r="V27" i="5"/>
  <c r="R27" i="5" s="1"/>
  <c r="X27" i="5"/>
  <c r="V28" i="5"/>
  <c r="X28" i="5"/>
  <c r="V29" i="5"/>
  <c r="R29" i="5" s="1"/>
  <c r="X29" i="5"/>
  <c r="V30" i="5"/>
  <c r="R30" i="5" s="1"/>
  <c r="X30" i="5"/>
  <c r="V31" i="5"/>
  <c r="R31" i="5" s="1"/>
  <c r="X31" i="5"/>
  <c r="V32" i="5"/>
  <c r="R32" i="5" s="1"/>
  <c r="X32" i="5"/>
  <c r="V33" i="5"/>
  <c r="R33" i="5" s="1"/>
  <c r="X33" i="5"/>
  <c r="V34" i="5"/>
  <c r="X34" i="5"/>
  <c r="V35" i="5"/>
  <c r="R35" i="5" s="1"/>
  <c r="X35" i="5"/>
  <c r="V36" i="5"/>
  <c r="R36" i="5" s="1"/>
  <c r="X36" i="5"/>
  <c r="V37" i="5"/>
  <c r="R37" i="5" s="1"/>
  <c r="X37" i="5"/>
  <c r="V38" i="5"/>
  <c r="R38" i="5" s="1"/>
  <c r="X38" i="5"/>
  <c r="V39" i="5"/>
  <c r="R39" i="5" s="1"/>
  <c r="X39" i="5"/>
  <c r="V40" i="5"/>
  <c r="R40" i="5" s="1"/>
  <c r="X40" i="5"/>
  <c r="V41" i="5"/>
  <c r="R41" i="5" s="1"/>
  <c r="X41" i="5"/>
  <c r="V42" i="5"/>
  <c r="R42" i="5" s="1"/>
  <c r="X42" i="5"/>
  <c r="V43" i="5"/>
  <c r="R43" i="5" s="1"/>
  <c r="X43" i="5"/>
  <c r="V44" i="5"/>
  <c r="R44" i="5" s="1"/>
  <c r="X44" i="5"/>
  <c r="V45" i="5"/>
  <c r="R45" i="5" s="1"/>
  <c r="X45" i="5"/>
  <c r="V46" i="5"/>
  <c r="R46" i="5" s="1"/>
  <c r="X46" i="5"/>
  <c r="V47" i="5"/>
  <c r="R47" i="5" s="1"/>
  <c r="X47" i="5"/>
  <c r="V48" i="5"/>
  <c r="R48" i="5" s="1"/>
  <c r="X48" i="5"/>
  <c r="V49" i="5"/>
  <c r="R49" i="5" s="1"/>
  <c r="X49" i="5"/>
  <c r="V50" i="5"/>
  <c r="R50" i="5" s="1"/>
  <c r="X50" i="5"/>
  <c r="V51" i="5"/>
  <c r="R51" i="5" s="1"/>
  <c r="X51" i="5"/>
  <c r="V52" i="5"/>
  <c r="X52" i="5"/>
  <c r="V53" i="5"/>
  <c r="R53" i="5" s="1"/>
  <c r="X53" i="5"/>
  <c r="V54" i="5"/>
  <c r="R54" i="5" s="1"/>
  <c r="X54" i="5"/>
  <c r="V55" i="5"/>
  <c r="R55" i="5" s="1"/>
  <c r="X55" i="5"/>
  <c r="V56" i="5"/>
  <c r="R56" i="5" s="1"/>
  <c r="X56" i="5"/>
  <c r="V57" i="5"/>
  <c r="R57" i="5" s="1"/>
  <c r="X57" i="5"/>
  <c r="V58" i="5"/>
  <c r="X58" i="5"/>
  <c r="V59" i="5"/>
  <c r="R59" i="5" s="1"/>
  <c r="X59" i="5"/>
  <c r="V60" i="5"/>
  <c r="R60" i="5" s="1"/>
  <c r="X60" i="5"/>
  <c r="V61" i="5"/>
  <c r="R61" i="5" s="1"/>
  <c r="X61" i="5"/>
  <c r="V62" i="5"/>
  <c r="R62" i="5" s="1"/>
  <c r="X62" i="5"/>
  <c r="V63" i="5"/>
  <c r="R63" i="5" s="1"/>
  <c r="X63" i="5"/>
  <c r="V64" i="5"/>
  <c r="R64" i="5" s="1"/>
  <c r="X64" i="5"/>
  <c r="V65" i="5"/>
  <c r="R65" i="5" s="1"/>
  <c r="X65" i="5"/>
  <c r="V66" i="5"/>
  <c r="R66" i="5" s="1"/>
  <c r="X66" i="5"/>
  <c r="V67" i="5"/>
  <c r="R67" i="5" s="1"/>
  <c r="X67" i="5"/>
  <c r="V68" i="5"/>
  <c r="R68" i="5" s="1"/>
  <c r="X68" i="5"/>
  <c r="V69" i="5"/>
  <c r="R69" i="5" s="1"/>
  <c r="X69" i="5"/>
  <c r="V70" i="5"/>
  <c r="X70" i="5"/>
  <c r="V71" i="5"/>
  <c r="R71" i="5" s="1"/>
  <c r="X71" i="5"/>
  <c r="V72" i="5"/>
  <c r="R72" i="5" s="1"/>
  <c r="X72" i="5"/>
  <c r="V73" i="5"/>
  <c r="R73" i="5" s="1"/>
  <c r="X73" i="5"/>
  <c r="V74" i="5"/>
  <c r="R74" i="5" s="1"/>
  <c r="X74" i="5"/>
  <c r="V75" i="5"/>
  <c r="R75" i="5" s="1"/>
  <c r="X75" i="5"/>
  <c r="V76" i="5"/>
  <c r="X76" i="5"/>
  <c r="V77" i="5"/>
  <c r="R77" i="5" s="1"/>
  <c r="X77" i="5"/>
  <c r="V78" i="5"/>
  <c r="R78" i="5" s="1"/>
  <c r="X78" i="5"/>
  <c r="V79" i="5"/>
  <c r="R79" i="5" s="1"/>
  <c r="X79" i="5"/>
  <c r="V80" i="5"/>
  <c r="R80" i="5" s="1"/>
  <c r="X80" i="5"/>
  <c r="V81" i="5"/>
  <c r="R81" i="5" s="1"/>
  <c r="X81" i="5"/>
  <c r="V82" i="5"/>
  <c r="X82" i="5"/>
  <c r="V83" i="5"/>
  <c r="R83" i="5" s="1"/>
  <c r="X83" i="5"/>
  <c r="V84" i="5"/>
  <c r="R84" i="5" s="1"/>
  <c r="X84" i="5"/>
  <c r="V85" i="5"/>
  <c r="R85" i="5" s="1"/>
  <c r="X85" i="5"/>
  <c r="V86" i="5"/>
  <c r="R86" i="5" s="1"/>
  <c r="X86" i="5"/>
  <c r="V87" i="5"/>
  <c r="R87" i="5" s="1"/>
  <c r="X87" i="5"/>
  <c r="V88" i="5"/>
  <c r="R88" i="5" s="1"/>
  <c r="X88" i="5"/>
  <c r="V89" i="5"/>
  <c r="R89" i="5" s="1"/>
  <c r="X89" i="5"/>
  <c r="V90" i="5"/>
  <c r="R90" i="5" s="1"/>
  <c r="X90" i="5"/>
  <c r="V91" i="5"/>
  <c r="R91" i="5" s="1"/>
  <c r="X91" i="5"/>
  <c r="V92" i="5"/>
  <c r="R92" i="5" s="1"/>
  <c r="X92" i="5"/>
  <c r="V93" i="5"/>
  <c r="R93" i="5" s="1"/>
  <c r="X93" i="5"/>
  <c r="V94" i="5"/>
  <c r="R94" i="5" s="1"/>
  <c r="X94" i="5"/>
  <c r="V95" i="5"/>
  <c r="R95" i="5" s="1"/>
  <c r="X95" i="5"/>
  <c r="V96" i="5"/>
  <c r="R96" i="5" s="1"/>
  <c r="X96" i="5"/>
  <c r="V97" i="5"/>
  <c r="R97" i="5" s="1"/>
  <c r="X97" i="5"/>
  <c r="V98" i="5"/>
  <c r="R98" i="5" s="1"/>
  <c r="X98" i="5"/>
  <c r="V99" i="5"/>
  <c r="R99" i="5" s="1"/>
  <c r="X99" i="5"/>
  <c r="V100" i="5"/>
  <c r="X100" i="5"/>
  <c r="V101" i="5"/>
  <c r="R101" i="5" s="1"/>
  <c r="X101" i="5"/>
  <c r="V102" i="5"/>
  <c r="R102" i="5" s="1"/>
  <c r="X102" i="5"/>
  <c r="V103" i="5"/>
  <c r="R103" i="5" s="1"/>
  <c r="X103" i="5"/>
  <c r="V104" i="5"/>
  <c r="R104" i="5" s="1"/>
  <c r="X104" i="5"/>
  <c r="V105" i="5"/>
  <c r="R105" i="5" s="1"/>
  <c r="X105" i="5"/>
  <c r="V106" i="5"/>
  <c r="R106" i="5" s="1"/>
  <c r="X106" i="5"/>
  <c r="V107" i="5"/>
  <c r="R107" i="5" s="1"/>
  <c r="X107" i="5"/>
  <c r="V108" i="5"/>
  <c r="R108" i="5" s="1"/>
  <c r="X108" i="5"/>
  <c r="V109" i="5"/>
  <c r="R109" i="5" s="1"/>
  <c r="X109" i="5"/>
  <c r="V110" i="5"/>
  <c r="R110" i="5" s="1"/>
  <c r="X110" i="5"/>
  <c r="V111" i="5"/>
  <c r="R111" i="5" s="1"/>
  <c r="X111" i="5"/>
  <c r="V112" i="5"/>
  <c r="X112" i="5"/>
  <c r="V113" i="5"/>
  <c r="R113" i="5" s="1"/>
  <c r="X113" i="5"/>
  <c r="V114" i="5"/>
  <c r="R114" i="5" s="1"/>
  <c r="X114" i="5"/>
  <c r="V115" i="5"/>
  <c r="R115" i="5" s="1"/>
  <c r="X115" i="5"/>
  <c r="V116" i="5"/>
  <c r="R116" i="5" s="1"/>
  <c r="X116" i="5"/>
  <c r="V117" i="5"/>
  <c r="R117" i="5" s="1"/>
  <c r="X117" i="5"/>
  <c r="V118" i="5"/>
  <c r="X118" i="5"/>
  <c r="V119" i="5"/>
  <c r="R119" i="5" s="1"/>
  <c r="X119" i="5"/>
  <c r="V120" i="5"/>
  <c r="R120" i="5" s="1"/>
  <c r="X120" i="5"/>
  <c r="V121" i="5"/>
  <c r="R121" i="5" s="1"/>
  <c r="X121" i="5"/>
  <c r="V122" i="5"/>
  <c r="R122" i="5" s="1"/>
  <c r="X122" i="5"/>
  <c r="V123" i="5"/>
  <c r="R123" i="5" s="1"/>
  <c r="X123" i="5"/>
  <c r="V124" i="5"/>
  <c r="R124" i="5" s="1"/>
  <c r="X124" i="5"/>
  <c r="V125" i="5"/>
  <c r="R125" i="5" s="1"/>
  <c r="X125" i="5"/>
  <c r="V126" i="5"/>
  <c r="R126" i="5" s="1"/>
  <c r="X126" i="5"/>
  <c r="V127" i="5"/>
  <c r="R127" i="5" s="1"/>
  <c r="X127" i="5"/>
  <c r="V128" i="5"/>
  <c r="R128" i="5" s="1"/>
  <c r="X128" i="5"/>
  <c r="V129" i="5"/>
  <c r="R129" i="5" s="1"/>
  <c r="X129" i="5"/>
  <c r="V130" i="5"/>
  <c r="R130" i="5" s="1"/>
  <c r="X130" i="5"/>
  <c r="V131" i="5"/>
  <c r="R131" i="5" s="1"/>
  <c r="X131" i="5"/>
  <c r="V132" i="5"/>
  <c r="R132" i="5" s="1"/>
  <c r="X132" i="5"/>
  <c r="V133" i="5"/>
  <c r="R133" i="5" s="1"/>
  <c r="X133" i="5"/>
  <c r="V134" i="5"/>
  <c r="R134" i="5" s="1"/>
  <c r="X134" i="5"/>
  <c r="V135" i="5"/>
  <c r="R135" i="5" s="1"/>
  <c r="X135" i="5"/>
  <c r="V136" i="5"/>
  <c r="R136" i="5" s="1"/>
  <c r="X136" i="5"/>
  <c r="V137" i="5"/>
  <c r="R137" i="5" s="1"/>
  <c r="X137" i="5"/>
  <c r="V138" i="5"/>
  <c r="R138" i="5" s="1"/>
  <c r="X138" i="5"/>
  <c r="V139" i="5"/>
  <c r="R139" i="5" s="1"/>
  <c r="X139" i="5"/>
  <c r="V140" i="5"/>
  <c r="R140" i="5" s="1"/>
  <c r="X140" i="5"/>
  <c r="V141" i="5"/>
  <c r="R141" i="5" s="1"/>
  <c r="X141" i="5"/>
  <c r="V142" i="5"/>
  <c r="R142" i="5" s="1"/>
  <c r="X142" i="5"/>
  <c r="V143" i="5"/>
  <c r="R143" i="5" s="1"/>
  <c r="X143" i="5"/>
  <c r="V144" i="5"/>
  <c r="R144" i="5" s="1"/>
  <c r="X144" i="5"/>
  <c r="V145" i="5"/>
  <c r="R145" i="5" s="1"/>
  <c r="X145" i="5"/>
  <c r="V146" i="5"/>
  <c r="R146" i="5" s="1"/>
  <c r="X146" i="5"/>
  <c r="V147" i="5"/>
  <c r="R147" i="5" s="1"/>
  <c r="X147" i="5"/>
  <c r="V148" i="5"/>
  <c r="R148" i="5" s="1"/>
  <c r="X148" i="5"/>
  <c r="V149" i="5"/>
  <c r="R149" i="5" s="1"/>
  <c r="X149" i="5"/>
  <c r="V150" i="5"/>
  <c r="R150" i="5" s="1"/>
  <c r="X150" i="5"/>
  <c r="V151" i="5"/>
  <c r="R151" i="5" s="1"/>
  <c r="X151" i="5"/>
  <c r="V152" i="5"/>
  <c r="R152" i="5" s="1"/>
  <c r="X152" i="5"/>
  <c r="V153" i="5"/>
  <c r="R153" i="5" s="1"/>
  <c r="X153" i="5"/>
  <c r="V154" i="5"/>
  <c r="R154" i="5" s="1"/>
  <c r="X154" i="5"/>
  <c r="V155" i="5"/>
  <c r="R155" i="5" s="1"/>
  <c r="X155" i="5"/>
  <c r="V156" i="5"/>
  <c r="R156" i="5" s="1"/>
  <c r="X156" i="5"/>
  <c r="V157" i="5"/>
  <c r="R157" i="5" s="1"/>
  <c r="X157" i="5"/>
  <c r="V158" i="5"/>
  <c r="R158" i="5" s="1"/>
  <c r="X158" i="5"/>
  <c r="V159" i="5"/>
  <c r="R159" i="5" s="1"/>
  <c r="X159" i="5"/>
  <c r="V160" i="5"/>
  <c r="R160" i="5" s="1"/>
  <c r="X160" i="5"/>
  <c r="V161" i="5"/>
  <c r="R161" i="5" s="1"/>
  <c r="X161" i="5"/>
  <c r="V162" i="5"/>
  <c r="R162" i="5" s="1"/>
  <c r="X162" i="5"/>
  <c r="V163" i="5"/>
  <c r="R163" i="5" s="1"/>
  <c r="X163" i="5"/>
  <c r="V164" i="5"/>
  <c r="R164" i="5" s="1"/>
  <c r="X164" i="5"/>
  <c r="V165" i="5"/>
  <c r="R165" i="5" s="1"/>
  <c r="X165" i="5"/>
  <c r="V166" i="5"/>
  <c r="R166" i="5" s="1"/>
  <c r="X166" i="5"/>
  <c r="V167" i="5"/>
  <c r="R167" i="5" s="1"/>
  <c r="X167" i="5"/>
  <c r="V168" i="5"/>
  <c r="R168" i="5" s="1"/>
  <c r="X168" i="5"/>
  <c r="V169" i="5"/>
  <c r="R169" i="5" s="1"/>
  <c r="X169" i="5"/>
  <c r="V170" i="5"/>
  <c r="R170" i="5" s="1"/>
  <c r="X170" i="5"/>
  <c r="V171" i="5"/>
  <c r="R171" i="5" s="1"/>
  <c r="X171" i="5"/>
  <c r="V172" i="5"/>
  <c r="R172" i="5" s="1"/>
  <c r="X172" i="5"/>
  <c r="V173" i="5"/>
  <c r="R173" i="5" s="1"/>
  <c r="X173" i="5"/>
  <c r="V174" i="5"/>
  <c r="R174" i="5" s="1"/>
  <c r="X174" i="5"/>
  <c r="V175" i="5"/>
  <c r="R175" i="5" s="1"/>
  <c r="X175" i="5"/>
  <c r="V176" i="5"/>
  <c r="R176" i="5" s="1"/>
  <c r="X176" i="5"/>
  <c r="V177" i="5"/>
  <c r="R177" i="5" s="1"/>
  <c r="X177" i="5"/>
  <c r="V178" i="5"/>
  <c r="R178" i="5" s="1"/>
  <c r="X178" i="5"/>
  <c r="V179" i="5"/>
  <c r="R179" i="5" s="1"/>
  <c r="X179" i="5"/>
  <c r="V180" i="5"/>
  <c r="R180" i="5" s="1"/>
  <c r="X180" i="5"/>
  <c r="V181" i="5"/>
  <c r="R181" i="5" s="1"/>
  <c r="X181" i="5"/>
  <c r="V182" i="5"/>
  <c r="R182" i="5" s="1"/>
  <c r="X182" i="5"/>
  <c r="V183" i="5"/>
  <c r="R183" i="5" s="1"/>
  <c r="X183" i="5"/>
  <c r="V184" i="5"/>
  <c r="X184" i="5"/>
  <c r="V185" i="5"/>
  <c r="R185" i="5" s="1"/>
  <c r="X185" i="5"/>
  <c r="V186" i="5"/>
  <c r="R186" i="5" s="1"/>
  <c r="X186" i="5"/>
  <c r="V187" i="5"/>
  <c r="R187" i="5" s="1"/>
  <c r="X187" i="5"/>
  <c r="V188" i="5"/>
  <c r="R188" i="5" s="1"/>
  <c r="X188" i="5"/>
  <c r="V189" i="5"/>
  <c r="R189" i="5" s="1"/>
  <c r="X189" i="5"/>
  <c r="V190" i="5"/>
  <c r="R190" i="5" s="1"/>
  <c r="X190" i="5"/>
  <c r="V191" i="5"/>
  <c r="R191" i="5" s="1"/>
  <c r="X191" i="5"/>
  <c r="V192" i="5"/>
  <c r="R192" i="5" s="1"/>
  <c r="X192" i="5"/>
  <c r="V193" i="5"/>
  <c r="R193" i="5" s="1"/>
  <c r="X193" i="5"/>
  <c r="V194" i="5"/>
  <c r="R194" i="5" s="1"/>
  <c r="X194" i="5"/>
  <c r="V195" i="5"/>
  <c r="R195" i="5" s="1"/>
  <c r="X195" i="5"/>
  <c r="V196" i="5"/>
  <c r="R196" i="5" s="1"/>
  <c r="X196" i="5"/>
  <c r="V197" i="5"/>
  <c r="R197" i="5" s="1"/>
  <c r="X197" i="5"/>
  <c r="V198" i="5"/>
  <c r="R198" i="5" s="1"/>
  <c r="X198" i="5"/>
  <c r="V199" i="5"/>
  <c r="R199" i="5" s="1"/>
  <c r="X199" i="5"/>
  <c r="V200" i="5"/>
  <c r="R200" i="5" s="1"/>
  <c r="X200" i="5"/>
  <c r="V201" i="5"/>
  <c r="R201" i="5" s="1"/>
  <c r="X201" i="5"/>
  <c r="V202" i="5"/>
  <c r="R202" i="5" s="1"/>
  <c r="X202" i="5"/>
  <c r="V203" i="5"/>
  <c r="R203" i="5" s="1"/>
  <c r="X203" i="5"/>
  <c r="V204" i="5"/>
  <c r="R204" i="5" s="1"/>
  <c r="X204" i="5"/>
  <c r="V205" i="5"/>
  <c r="R205" i="5" s="1"/>
  <c r="X205" i="5"/>
  <c r="V206" i="5"/>
  <c r="R206" i="5" s="1"/>
  <c r="X206" i="5"/>
  <c r="V207" i="5"/>
  <c r="R207" i="5" s="1"/>
  <c r="X207" i="5"/>
  <c r="V208" i="5"/>
  <c r="R208" i="5" s="1"/>
  <c r="X208" i="5"/>
  <c r="V209" i="5"/>
  <c r="R209" i="5" s="1"/>
  <c r="X209" i="5"/>
  <c r="V210" i="5"/>
  <c r="R210" i="5" s="1"/>
  <c r="X210" i="5"/>
  <c r="V211" i="5"/>
  <c r="R211" i="5" s="1"/>
  <c r="X211" i="5"/>
  <c r="V212" i="5"/>
  <c r="R212" i="5" s="1"/>
  <c r="X212" i="5"/>
  <c r="V213" i="5"/>
  <c r="R213" i="5" s="1"/>
  <c r="X213" i="5"/>
  <c r="V214" i="5"/>
  <c r="R214" i="5" s="1"/>
  <c r="X214" i="5"/>
  <c r="V215" i="5"/>
  <c r="R215" i="5" s="1"/>
  <c r="X215" i="5"/>
  <c r="V216" i="5"/>
  <c r="R216" i="5" s="1"/>
  <c r="X216" i="5"/>
  <c r="V217" i="5"/>
  <c r="R217" i="5" s="1"/>
  <c r="X217" i="5"/>
  <c r="V218" i="5"/>
  <c r="R218" i="5" s="1"/>
  <c r="X218" i="5"/>
  <c r="V219" i="5"/>
  <c r="R219" i="5" s="1"/>
  <c r="X219" i="5"/>
  <c r="V220" i="5"/>
  <c r="X220" i="5"/>
  <c r="V221" i="5"/>
  <c r="R221" i="5" s="1"/>
  <c r="X221" i="5"/>
  <c r="V222" i="5"/>
  <c r="R222" i="5" s="1"/>
  <c r="X222" i="5"/>
  <c r="V223" i="5"/>
  <c r="R223" i="5" s="1"/>
  <c r="X223" i="5"/>
  <c r="V224" i="5"/>
  <c r="R224" i="5" s="1"/>
  <c r="X224" i="5"/>
  <c r="V225" i="5"/>
  <c r="R225" i="5" s="1"/>
  <c r="X225" i="5"/>
  <c r="V226" i="5"/>
  <c r="R226" i="5" s="1"/>
  <c r="X226" i="5"/>
  <c r="V227" i="5"/>
  <c r="R227" i="5" s="1"/>
  <c r="X227" i="5"/>
  <c r="V228" i="5"/>
  <c r="R228" i="5" s="1"/>
  <c r="X228" i="5"/>
  <c r="V229" i="5"/>
  <c r="R229" i="5" s="1"/>
  <c r="X229" i="5"/>
  <c r="V230" i="5"/>
  <c r="R230" i="5" s="1"/>
  <c r="X230" i="5"/>
  <c r="V231" i="5"/>
  <c r="R231" i="5" s="1"/>
  <c r="X231" i="5"/>
  <c r="V232" i="5"/>
  <c r="X232" i="5"/>
  <c r="V233" i="5"/>
  <c r="R233" i="5" s="1"/>
  <c r="X233" i="5"/>
  <c r="V234" i="5"/>
  <c r="R234" i="5" s="1"/>
  <c r="X234" i="5"/>
  <c r="V235" i="5"/>
  <c r="R235" i="5" s="1"/>
  <c r="X235" i="5"/>
  <c r="V236" i="5"/>
  <c r="R236" i="5" s="1"/>
  <c r="X236" i="5"/>
  <c r="V237" i="5"/>
  <c r="R237" i="5" s="1"/>
  <c r="X237" i="5"/>
  <c r="V238" i="5"/>
  <c r="R238" i="5" s="1"/>
  <c r="X238" i="5"/>
  <c r="V239" i="5"/>
  <c r="R239" i="5" s="1"/>
  <c r="X239" i="5"/>
  <c r="V240" i="5"/>
  <c r="R240" i="5" s="1"/>
  <c r="X240" i="5"/>
  <c r="V241" i="5"/>
  <c r="R241" i="5" s="1"/>
  <c r="X241" i="5"/>
  <c r="V242" i="5"/>
  <c r="R242" i="5" s="1"/>
  <c r="X242" i="5"/>
  <c r="V243" i="5"/>
  <c r="R243" i="5" s="1"/>
  <c r="X243" i="5"/>
  <c r="V244" i="5"/>
  <c r="R244" i="5" s="1"/>
  <c r="X244" i="5"/>
  <c r="V245" i="5"/>
  <c r="R245" i="5" s="1"/>
  <c r="X245" i="5"/>
  <c r="V246" i="5"/>
  <c r="R246" i="5" s="1"/>
  <c r="X246" i="5"/>
  <c r="V247" i="5"/>
  <c r="R247" i="5" s="1"/>
  <c r="X247" i="5"/>
  <c r="V248" i="5"/>
  <c r="R248" i="5" s="1"/>
  <c r="X248" i="5"/>
  <c r="V249" i="5"/>
  <c r="R249" i="5" s="1"/>
  <c r="X249" i="5"/>
  <c r="V250" i="5"/>
  <c r="R250" i="5" s="1"/>
  <c r="X250" i="5"/>
  <c r="V251" i="5"/>
  <c r="R251" i="5" s="1"/>
  <c r="X251" i="5"/>
  <c r="V252" i="5"/>
  <c r="R252" i="5" s="1"/>
  <c r="X252" i="5"/>
  <c r="V253" i="5"/>
  <c r="R253" i="5" s="1"/>
  <c r="X253" i="5"/>
  <c r="V254" i="5"/>
  <c r="R254" i="5" s="1"/>
  <c r="X254" i="5"/>
  <c r="V255" i="5"/>
  <c r="R255" i="5" s="1"/>
  <c r="X255" i="5"/>
  <c r="V256" i="5"/>
  <c r="X256" i="5"/>
  <c r="V257" i="5"/>
  <c r="R257" i="5" s="1"/>
  <c r="X257" i="5"/>
  <c r="V258" i="5"/>
  <c r="R258" i="5" s="1"/>
  <c r="X258" i="5"/>
  <c r="V259" i="5"/>
  <c r="R259" i="5" s="1"/>
  <c r="X259" i="5"/>
  <c r="V260" i="5"/>
  <c r="R260" i="5" s="1"/>
  <c r="X260" i="5"/>
  <c r="V261" i="5"/>
  <c r="R261" i="5" s="1"/>
  <c r="X261" i="5"/>
  <c r="V262" i="5"/>
  <c r="R262" i="5" s="1"/>
  <c r="X262" i="5"/>
  <c r="V263" i="5"/>
  <c r="R263" i="5" s="1"/>
  <c r="X263" i="5"/>
  <c r="V264" i="5"/>
  <c r="R264" i="5" s="1"/>
  <c r="X264" i="5"/>
  <c r="V265" i="5"/>
  <c r="R265" i="5" s="1"/>
  <c r="X265" i="5"/>
  <c r="V266" i="5"/>
  <c r="R266" i="5" s="1"/>
  <c r="X266" i="5"/>
  <c r="V267" i="5"/>
  <c r="R267" i="5" s="1"/>
  <c r="X267" i="5"/>
  <c r="V268" i="5"/>
  <c r="R268" i="5" s="1"/>
  <c r="X268" i="5"/>
  <c r="V269" i="5"/>
  <c r="R269" i="5" s="1"/>
  <c r="X269" i="5"/>
  <c r="V270" i="5"/>
  <c r="R270" i="5" s="1"/>
  <c r="X270" i="5"/>
  <c r="V271" i="5"/>
  <c r="R271" i="5" s="1"/>
  <c r="X271" i="5"/>
  <c r="V272" i="5"/>
  <c r="R272" i="5" s="1"/>
  <c r="X272" i="5"/>
  <c r="V273" i="5"/>
  <c r="R273" i="5" s="1"/>
  <c r="X273" i="5"/>
  <c r="V274" i="5"/>
  <c r="R274" i="5" s="1"/>
  <c r="X274" i="5"/>
  <c r="V275" i="5"/>
  <c r="R275" i="5" s="1"/>
  <c r="X275" i="5"/>
  <c r="V276" i="5"/>
  <c r="R276" i="5" s="1"/>
  <c r="X276" i="5"/>
  <c r="V277" i="5"/>
  <c r="R277" i="5" s="1"/>
  <c r="X277" i="5"/>
  <c r="V278" i="5"/>
  <c r="R278" i="5" s="1"/>
  <c r="X278" i="5"/>
  <c r="V279" i="5"/>
  <c r="R279" i="5" s="1"/>
  <c r="X279" i="5"/>
  <c r="V280" i="5"/>
  <c r="R280" i="5" s="1"/>
  <c r="X280" i="5"/>
  <c r="V281" i="5"/>
  <c r="R281" i="5" s="1"/>
  <c r="X281" i="5"/>
  <c r="V282" i="5"/>
  <c r="R282" i="5" s="1"/>
  <c r="X282" i="5"/>
  <c r="V283" i="5"/>
  <c r="R283" i="5" s="1"/>
  <c r="X283" i="5"/>
  <c r="V284" i="5"/>
  <c r="R284" i="5" s="1"/>
  <c r="X284" i="5"/>
  <c r="V285" i="5"/>
  <c r="R285" i="5" s="1"/>
  <c r="X285" i="5"/>
  <c r="V286" i="5"/>
  <c r="R286" i="5" s="1"/>
  <c r="X286" i="5"/>
  <c r="V287" i="5"/>
  <c r="R287" i="5" s="1"/>
  <c r="X287" i="5"/>
  <c r="V288" i="5"/>
  <c r="R288" i="5" s="1"/>
  <c r="X288" i="5"/>
  <c r="V289" i="5"/>
  <c r="R289" i="5" s="1"/>
  <c r="X289" i="5"/>
  <c r="V290" i="5"/>
  <c r="R290" i="5" s="1"/>
  <c r="X290" i="5"/>
  <c r="V291" i="5"/>
  <c r="R291" i="5" s="1"/>
  <c r="X291" i="5"/>
  <c r="V292" i="5"/>
  <c r="R292" i="5" s="1"/>
  <c r="X292" i="5"/>
  <c r="V293" i="5"/>
  <c r="R293" i="5" s="1"/>
  <c r="X293" i="5"/>
  <c r="V294" i="5"/>
  <c r="R294" i="5" s="1"/>
  <c r="X294" i="5"/>
  <c r="V295" i="5"/>
  <c r="R295" i="5" s="1"/>
  <c r="X295" i="5"/>
  <c r="V296" i="5"/>
  <c r="R296" i="5" s="1"/>
  <c r="X296" i="5"/>
  <c r="V297" i="5"/>
  <c r="R297" i="5" s="1"/>
  <c r="X297" i="5"/>
  <c r="V298" i="5"/>
  <c r="R298" i="5" s="1"/>
  <c r="X298" i="5"/>
  <c r="V299" i="5"/>
  <c r="R299" i="5" s="1"/>
  <c r="X299" i="5"/>
  <c r="V300" i="5"/>
  <c r="R300" i="5" s="1"/>
  <c r="X300" i="5"/>
  <c r="V301" i="5"/>
  <c r="R301" i="5" s="1"/>
  <c r="X301" i="5"/>
  <c r="V302" i="5"/>
  <c r="R302" i="5" s="1"/>
  <c r="X302" i="5"/>
  <c r="V303" i="5"/>
  <c r="R303" i="5" s="1"/>
  <c r="X303" i="5"/>
  <c r="V304" i="5"/>
  <c r="R304" i="5" s="1"/>
  <c r="X304" i="5"/>
  <c r="V305" i="5"/>
  <c r="X305" i="5"/>
  <c r="V306" i="5"/>
  <c r="R306" i="5" s="1"/>
  <c r="X306" i="5"/>
  <c r="V307" i="5"/>
  <c r="R307" i="5" s="1"/>
  <c r="X307" i="5"/>
  <c r="V308" i="5"/>
  <c r="R308" i="5" s="1"/>
  <c r="X308" i="5"/>
  <c r="V309" i="5"/>
  <c r="R309" i="5" s="1"/>
  <c r="X309" i="5"/>
  <c r="V310" i="5"/>
  <c r="R310" i="5" s="1"/>
  <c r="X310" i="5"/>
  <c r="V311" i="5"/>
  <c r="R311" i="5" s="1"/>
  <c r="X311" i="5"/>
  <c r="V312" i="5"/>
  <c r="R312" i="5" s="1"/>
  <c r="X312" i="5"/>
  <c r="V313" i="5"/>
  <c r="R313" i="5" s="1"/>
  <c r="X313" i="5"/>
  <c r="V314" i="5"/>
  <c r="R314" i="5" s="1"/>
  <c r="X314" i="5"/>
  <c r="V315" i="5"/>
  <c r="R315" i="5" s="1"/>
  <c r="X315" i="5"/>
  <c r="V316" i="5"/>
  <c r="X316" i="5"/>
  <c r="V317" i="5"/>
  <c r="R317" i="5" s="1"/>
  <c r="X317" i="5"/>
  <c r="V318" i="5"/>
  <c r="R318" i="5" s="1"/>
  <c r="X318" i="5"/>
  <c r="V319" i="5"/>
  <c r="R319" i="5" s="1"/>
  <c r="X319" i="5"/>
  <c r="V320" i="5"/>
  <c r="R320" i="5" s="1"/>
  <c r="X320" i="5"/>
  <c r="V321" i="5"/>
  <c r="R321" i="5" s="1"/>
  <c r="X321" i="5"/>
  <c r="V322" i="5"/>
  <c r="R322" i="5" s="1"/>
  <c r="X322" i="5"/>
  <c r="V323" i="5"/>
  <c r="R323" i="5" s="1"/>
  <c r="X323" i="5"/>
  <c r="V324" i="5"/>
  <c r="R324" i="5" s="1"/>
  <c r="X324" i="5"/>
  <c r="V325" i="5"/>
  <c r="R325" i="5" s="1"/>
  <c r="X325" i="5"/>
  <c r="V326" i="5"/>
  <c r="R326" i="5" s="1"/>
  <c r="X326" i="5"/>
  <c r="V327" i="5"/>
  <c r="R327" i="5" s="1"/>
  <c r="X327" i="5"/>
  <c r="V328" i="5"/>
  <c r="R328" i="5" s="1"/>
  <c r="X328" i="5"/>
  <c r="V329" i="5"/>
  <c r="R329" i="5" s="1"/>
  <c r="X329" i="5"/>
  <c r="V330" i="5"/>
  <c r="R330" i="5" s="1"/>
  <c r="X330" i="5"/>
  <c r="V331" i="5"/>
  <c r="R331" i="5" s="1"/>
  <c r="X331" i="5"/>
  <c r="V332" i="5"/>
  <c r="R332" i="5" s="1"/>
  <c r="X332" i="5"/>
  <c r="V333" i="5"/>
  <c r="R333" i="5" s="1"/>
  <c r="X333" i="5"/>
  <c r="V334" i="5"/>
  <c r="X334" i="5"/>
  <c r="V335" i="5"/>
  <c r="R335" i="5" s="1"/>
  <c r="X335" i="5"/>
  <c r="V336" i="5"/>
  <c r="R336" i="5" s="1"/>
  <c r="X336" i="5"/>
  <c r="V337" i="5"/>
  <c r="R337" i="5" s="1"/>
  <c r="X337" i="5"/>
  <c r="V338" i="5"/>
  <c r="R338" i="5" s="1"/>
  <c r="X338" i="5"/>
  <c r="V339" i="5"/>
  <c r="R339" i="5" s="1"/>
  <c r="X339" i="5"/>
  <c r="V340" i="5"/>
  <c r="R340" i="5" s="1"/>
  <c r="X340" i="5"/>
  <c r="V341" i="5"/>
  <c r="R341" i="5" s="1"/>
  <c r="X341" i="5"/>
  <c r="V342" i="5"/>
  <c r="R342" i="5" s="1"/>
  <c r="X342" i="5"/>
  <c r="V343" i="5"/>
  <c r="R343" i="5" s="1"/>
  <c r="X343" i="5"/>
  <c r="V344" i="5"/>
  <c r="R344" i="5" s="1"/>
  <c r="X344" i="5"/>
  <c r="V345" i="5"/>
  <c r="R345" i="5" s="1"/>
  <c r="X345" i="5"/>
  <c r="V346" i="5"/>
  <c r="R346" i="5" s="1"/>
  <c r="X346" i="5"/>
  <c r="V347" i="5"/>
  <c r="R347" i="5" s="1"/>
  <c r="X347" i="5"/>
  <c r="V348" i="5"/>
  <c r="R348" i="5" s="1"/>
  <c r="X348" i="5"/>
  <c r="V349" i="5"/>
  <c r="R349" i="5" s="1"/>
  <c r="X349" i="5"/>
  <c r="V350" i="5"/>
  <c r="R350" i="5" s="1"/>
  <c r="X350" i="5"/>
  <c r="V351" i="5"/>
  <c r="R351" i="5" s="1"/>
  <c r="X351" i="5"/>
  <c r="V352" i="5"/>
  <c r="R352" i="5" s="1"/>
  <c r="X352" i="5"/>
  <c r="V353" i="5"/>
  <c r="R353" i="5" s="1"/>
  <c r="X353" i="5"/>
  <c r="V354" i="5"/>
  <c r="X354" i="5"/>
  <c r="V355" i="5"/>
  <c r="R355" i="5" s="1"/>
  <c r="X355" i="5"/>
  <c r="V356" i="5"/>
  <c r="R356" i="5" s="1"/>
  <c r="X356" i="5"/>
  <c r="V357" i="5"/>
  <c r="R357" i="5" s="1"/>
  <c r="X357" i="5"/>
  <c r="V358" i="5"/>
  <c r="R358" i="5" s="1"/>
  <c r="X358" i="5"/>
  <c r="V359" i="5"/>
  <c r="R359" i="5" s="1"/>
  <c r="X359" i="5"/>
  <c r="V360" i="5"/>
  <c r="R360" i="5" s="1"/>
  <c r="X360" i="5"/>
  <c r="V361" i="5"/>
  <c r="R361" i="5" s="1"/>
  <c r="X361" i="5"/>
  <c r="V362" i="5"/>
  <c r="R362" i="5" s="1"/>
  <c r="X362" i="5"/>
  <c r="V363" i="5"/>
  <c r="R363" i="5" s="1"/>
  <c r="X363" i="5"/>
  <c r="V364" i="5"/>
  <c r="R364" i="5" s="1"/>
  <c r="X364" i="5"/>
  <c r="V365" i="5"/>
  <c r="X365" i="5"/>
  <c r="V366" i="5"/>
  <c r="R366" i="5" s="1"/>
  <c r="X366" i="5"/>
  <c r="V367" i="5"/>
  <c r="R367" i="5" s="1"/>
  <c r="X367" i="5"/>
  <c r="V368" i="5"/>
  <c r="R368" i="5" s="1"/>
  <c r="X368" i="5"/>
  <c r="V369" i="5"/>
  <c r="R369" i="5" s="1"/>
  <c r="X369" i="5"/>
  <c r="V370" i="5"/>
  <c r="R370" i="5" s="1"/>
  <c r="X370" i="5"/>
  <c r="V371" i="5"/>
  <c r="R371" i="5" s="1"/>
  <c r="X371" i="5"/>
  <c r="V372" i="5"/>
  <c r="R372" i="5" s="1"/>
  <c r="X372" i="5"/>
  <c r="V373" i="5"/>
  <c r="R373" i="5" s="1"/>
  <c r="X373" i="5"/>
  <c r="V374" i="5"/>
  <c r="R374" i="5" s="1"/>
  <c r="X374" i="5"/>
  <c r="V375" i="5"/>
  <c r="R375" i="5" s="1"/>
  <c r="X375" i="5"/>
  <c r="V376" i="5"/>
  <c r="R376" i="5" s="1"/>
  <c r="X376" i="5"/>
  <c r="V377" i="5"/>
  <c r="R377" i="5" s="1"/>
  <c r="X377" i="5"/>
  <c r="V378" i="5"/>
  <c r="R378" i="5" s="1"/>
  <c r="X378" i="5"/>
  <c r="V379" i="5"/>
  <c r="R379" i="5" s="1"/>
  <c r="X379" i="5"/>
  <c r="V380" i="5"/>
  <c r="R380" i="5" s="1"/>
  <c r="X380" i="5"/>
  <c r="V381" i="5"/>
  <c r="R381" i="5" s="1"/>
  <c r="X381" i="5"/>
  <c r="V382" i="5"/>
  <c r="R382" i="5" s="1"/>
  <c r="X382" i="5"/>
  <c r="V383" i="5"/>
  <c r="R383" i="5" s="1"/>
  <c r="X383" i="5"/>
  <c r="V384" i="5"/>
  <c r="R384" i="5" s="1"/>
  <c r="X384" i="5"/>
  <c r="V385" i="5"/>
  <c r="R385" i="5" s="1"/>
  <c r="X385" i="5"/>
  <c r="V386" i="5"/>
  <c r="R386" i="5" s="1"/>
  <c r="X386" i="5"/>
  <c r="V387" i="5"/>
  <c r="R387" i="5" s="1"/>
  <c r="X387" i="5"/>
  <c r="V388" i="5"/>
  <c r="R388" i="5" s="1"/>
  <c r="X388" i="5"/>
  <c r="V389" i="5"/>
  <c r="R389" i="5" s="1"/>
  <c r="X389" i="5"/>
  <c r="V390" i="5"/>
  <c r="R390" i="5" s="1"/>
  <c r="X390" i="5"/>
  <c r="V391" i="5"/>
  <c r="R391" i="5" s="1"/>
  <c r="X391" i="5"/>
  <c r="V392" i="5"/>
  <c r="R392" i="5" s="1"/>
  <c r="X392" i="5"/>
  <c r="V393" i="5"/>
  <c r="R393" i="5" s="1"/>
  <c r="X393" i="5"/>
  <c r="V394" i="5"/>
  <c r="R394" i="5" s="1"/>
  <c r="X394" i="5"/>
  <c r="V395" i="5"/>
  <c r="R395" i="5" s="1"/>
  <c r="X395" i="5"/>
  <c r="V396" i="5"/>
  <c r="R396" i="5" s="1"/>
  <c r="X396" i="5"/>
  <c r="V397" i="5"/>
  <c r="R397" i="5" s="1"/>
  <c r="X397" i="5"/>
  <c r="V398" i="5"/>
  <c r="R398" i="5" s="1"/>
  <c r="X398" i="5"/>
  <c r="V399" i="5"/>
  <c r="R399" i="5" s="1"/>
  <c r="X399" i="5"/>
  <c r="V400" i="5"/>
  <c r="R400" i="5" s="1"/>
  <c r="X400" i="5"/>
  <c r="V401" i="5"/>
  <c r="R401" i="5" s="1"/>
  <c r="X401" i="5"/>
  <c r="V402" i="5"/>
  <c r="R402" i="5" s="1"/>
  <c r="X402" i="5"/>
  <c r="V403" i="5"/>
  <c r="R403" i="5" s="1"/>
  <c r="X403" i="5"/>
  <c r="V404" i="5"/>
  <c r="R404" i="5" s="1"/>
  <c r="X404" i="5"/>
  <c r="V405" i="5"/>
  <c r="R405" i="5" s="1"/>
  <c r="X405" i="5"/>
  <c r="V406" i="5"/>
  <c r="R406" i="5" s="1"/>
  <c r="X406" i="5"/>
  <c r="V407" i="5"/>
  <c r="R407" i="5" s="1"/>
  <c r="X407" i="5"/>
  <c r="V408" i="5"/>
  <c r="R408" i="5" s="1"/>
  <c r="X408" i="5"/>
  <c r="V409" i="5"/>
  <c r="R409" i="5" s="1"/>
  <c r="X409" i="5"/>
  <c r="V410" i="5"/>
  <c r="R410" i="5" s="1"/>
  <c r="X410" i="5"/>
  <c r="V411" i="5"/>
  <c r="R411" i="5" s="1"/>
  <c r="X411" i="5"/>
  <c r="V412" i="5"/>
  <c r="R412" i="5" s="1"/>
  <c r="X412" i="5"/>
  <c r="V413" i="5"/>
  <c r="R413" i="5" s="1"/>
  <c r="X413" i="5"/>
  <c r="V414" i="5"/>
  <c r="R414" i="5" s="1"/>
  <c r="X414" i="5"/>
  <c r="V415" i="5"/>
  <c r="R415" i="5" s="1"/>
  <c r="X415" i="5"/>
  <c r="V416" i="5"/>
  <c r="R416" i="5" s="1"/>
  <c r="X416" i="5"/>
  <c r="V417" i="5"/>
  <c r="R417" i="5" s="1"/>
  <c r="X417" i="5"/>
  <c r="V418" i="5"/>
  <c r="R418" i="5" s="1"/>
  <c r="X418" i="5"/>
  <c r="V419" i="5"/>
  <c r="R419" i="5" s="1"/>
  <c r="X419" i="5"/>
  <c r="V420" i="5"/>
  <c r="R420" i="5" s="1"/>
  <c r="X420" i="5"/>
  <c r="V421" i="5"/>
  <c r="R421" i="5" s="1"/>
  <c r="X421" i="5"/>
  <c r="V422" i="5"/>
  <c r="R422" i="5" s="1"/>
  <c r="X422" i="5"/>
  <c r="V423" i="5"/>
  <c r="R423" i="5" s="1"/>
  <c r="X423" i="5"/>
  <c r="V424" i="5"/>
  <c r="R424" i="5" s="1"/>
  <c r="X424" i="5"/>
  <c r="V425" i="5"/>
  <c r="R425" i="5" s="1"/>
  <c r="X425" i="5"/>
  <c r="V426" i="5"/>
  <c r="R426" i="5" s="1"/>
  <c r="X426" i="5"/>
  <c r="V427" i="5"/>
  <c r="R427" i="5" s="1"/>
  <c r="X427" i="5"/>
  <c r="V428" i="5"/>
  <c r="R428" i="5" s="1"/>
  <c r="X428" i="5"/>
  <c r="V429" i="5"/>
  <c r="R429" i="5" s="1"/>
  <c r="X429" i="5"/>
  <c r="V430" i="5"/>
  <c r="R430" i="5" s="1"/>
  <c r="X430" i="5"/>
  <c r="V431" i="5"/>
  <c r="X431" i="5"/>
  <c r="V432" i="5"/>
  <c r="R432" i="5" s="1"/>
  <c r="X432" i="5"/>
  <c r="V433" i="5"/>
  <c r="R433" i="5" s="1"/>
  <c r="X433" i="5"/>
  <c r="V434" i="5"/>
  <c r="R434" i="5" s="1"/>
  <c r="X434" i="5"/>
  <c r="V435" i="5"/>
  <c r="R435" i="5" s="1"/>
  <c r="X435" i="5"/>
  <c r="V436" i="5"/>
  <c r="R436" i="5" s="1"/>
  <c r="X436" i="5"/>
  <c r="V437" i="5"/>
  <c r="R437" i="5" s="1"/>
  <c r="X437" i="5"/>
  <c r="V438" i="5"/>
  <c r="R438" i="5" s="1"/>
  <c r="X438" i="5"/>
  <c r="V439" i="5"/>
  <c r="R439" i="5" s="1"/>
  <c r="X439" i="5"/>
  <c r="V440" i="5"/>
  <c r="R440" i="5" s="1"/>
  <c r="X440" i="5"/>
  <c r="V441" i="5"/>
  <c r="R441" i="5" s="1"/>
  <c r="X441" i="5"/>
  <c r="V442" i="5"/>
  <c r="X442" i="5"/>
  <c r="V443" i="5"/>
  <c r="R443" i="5" s="1"/>
  <c r="X443" i="5"/>
  <c r="V444" i="5"/>
  <c r="R444" i="5" s="1"/>
  <c r="X444" i="5"/>
  <c r="V445" i="5"/>
  <c r="R445" i="5" s="1"/>
  <c r="X445" i="5"/>
  <c r="V446" i="5"/>
  <c r="R446" i="5" s="1"/>
  <c r="X446" i="5"/>
  <c r="V447" i="5"/>
  <c r="R447" i="5" s="1"/>
  <c r="X447" i="5"/>
  <c r="V448" i="5"/>
  <c r="R448" i="5" s="1"/>
  <c r="X448" i="5"/>
  <c r="V449" i="5"/>
  <c r="R449" i="5" s="1"/>
  <c r="X449" i="5"/>
  <c r="V450" i="5"/>
  <c r="R450" i="5" s="1"/>
  <c r="X450" i="5"/>
  <c r="V451" i="5"/>
  <c r="R451" i="5" s="1"/>
  <c r="X451" i="5"/>
  <c r="V452" i="5"/>
  <c r="R452" i="5" s="1"/>
  <c r="X452" i="5"/>
  <c r="V453" i="5"/>
  <c r="R453" i="5" s="1"/>
  <c r="X453" i="5"/>
  <c r="V454" i="5"/>
  <c r="X454" i="5"/>
  <c r="V455" i="5"/>
  <c r="R455" i="5" s="1"/>
  <c r="X455" i="5"/>
  <c r="V456" i="5"/>
  <c r="R456" i="5" s="1"/>
  <c r="X456" i="5"/>
  <c r="V457" i="5"/>
  <c r="R457" i="5" s="1"/>
  <c r="X457" i="5"/>
  <c r="V458" i="5"/>
  <c r="R458" i="5" s="1"/>
  <c r="X458" i="5"/>
  <c r="V459" i="5"/>
  <c r="R459" i="5" s="1"/>
  <c r="X459" i="5"/>
  <c r="V460" i="5"/>
  <c r="X460" i="5"/>
  <c r="V461" i="5"/>
  <c r="R461" i="5" s="1"/>
  <c r="X461" i="5"/>
  <c r="V462" i="5"/>
  <c r="X462" i="5"/>
  <c r="V463" i="5"/>
  <c r="R463" i="5" s="1"/>
  <c r="X463" i="5"/>
  <c r="V464" i="5"/>
  <c r="R464" i="5" s="1"/>
  <c r="X464" i="5"/>
  <c r="V465" i="5"/>
  <c r="R465" i="5" s="1"/>
  <c r="X465" i="5"/>
  <c r="V466" i="5"/>
  <c r="R466" i="5" s="1"/>
  <c r="X466" i="5"/>
  <c r="V467" i="5"/>
  <c r="R467" i="5" s="1"/>
  <c r="X467" i="5"/>
  <c r="V468" i="5"/>
  <c r="R468" i="5" s="1"/>
  <c r="X468" i="5"/>
  <c r="V469" i="5"/>
  <c r="R469" i="5" s="1"/>
  <c r="X469" i="5"/>
  <c r="V470" i="5"/>
  <c r="R470" i="5" s="1"/>
  <c r="X470" i="5"/>
  <c r="V471" i="5"/>
  <c r="R471" i="5" s="1"/>
  <c r="X471" i="5"/>
  <c r="V472" i="5"/>
  <c r="R472" i="5" s="1"/>
  <c r="X472" i="5"/>
  <c r="V473" i="5"/>
  <c r="X473" i="5"/>
  <c r="V474" i="5"/>
  <c r="R474" i="5" s="1"/>
  <c r="X474" i="5"/>
  <c r="V475" i="5"/>
  <c r="R475" i="5" s="1"/>
  <c r="X475" i="5"/>
  <c r="V476" i="5"/>
  <c r="R476" i="5" s="1"/>
  <c r="X476" i="5"/>
  <c r="V477" i="5"/>
  <c r="R477" i="5" s="1"/>
  <c r="X477" i="5"/>
  <c r="V478" i="5"/>
  <c r="R478" i="5" s="1"/>
  <c r="X478" i="5"/>
  <c r="V479" i="5"/>
  <c r="R479" i="5" s="1"/>
  <c r="X479" i="5"/>
  <c r="V480" i="5"/>
  <c r="R480" i="5" s="1"/>
  <c r="X480" i="5"/>
  <c r="V481" i="5"/>
  <c r="R481" i="5" s="1"/>
  <c r="X481" i="5"/>
  <c r="V482" i="5"/>
  <c r="R482" i="5" s="1"/>
  <c r="X482" i="5"/>
  <c r="V483" i="5"/>
  <c r="R483" i="5" s="1"/>
  <c r="X483" i="5"/>
  <c r="V484" i="5"/>
  <c r="R484" i="5" s="1"/>
  <c r="X484" i="5"/>
  <c r="V485" i="5"/>
  <c r="R485" i="5" s="1"/>
  <c r="X485" i="5"/>
  <c r="V486" i="5"/>
  <c r="R486" i="5" s="1"/>
  <c r="X486" i="5"/>
  <c r="V487" i="5"/>
  <c r="R487" i="5" s="1"/>
  <c r="X487" i="5"/>
  <c r="V488" i="5"/>
  <c r="R488" i="5" s="1"/>
  <c r="X488" i="5"/>
  <c r="V489" i="5"/>
  <c r="R489" i="5" s="1"/>
  <c r="X489" i="5"/>
  <c r="V490" i="5"/>
  <c r="R490" i="5" s="1"/>
  <c r="X490" i="5"/>
  <c r="V491" i="5"/>
  <c r="R491" i="5" s="1"/>
  <c r="X491" i="5"/>
  <c r="V492" i="5"/>
  <c r="R492" i="5" s="1"/>
  <c r="X492" i="5"/>
  <c r="V493" i="5"/>
  <c r="R493" i="5" s="1"/>
  <c r="X493" i="5"/>
  <c r="V494" i="5"/>
  <c r="R494" i="5" s="1"/>
  <c r="X494" i="5"/>
  <c r="V495" i="5"/>
  <c r="R495" i="5" s="1"/>
  <c r="X495" i="5"/>
  <c r="V496" i="5"/>
  <c r="R496" i="5" s="1"/>
  <c r="X496" i="5"/>
  <c r="V497" i="5"/>
  <c r="R497" i="5" s="1"/>
  <c r="X497" i="5"/>
  <c r="V498" i="5"/>
  <c r="R498" i="5" s="1"/>
  <c r="X498" i="5"/>
  <c r="V499" i="5"/>
  <c r="R499" i="5" s="1"/>
  <c r="X499" i="5"/>
  <c r="V500" i="5"/>
  <c r="R500" i="5" s="1"/>
  <c r="X500" i="5"/>
  <c r="V501" i="5"/>
  <c r="R501" i="5" s="1"/>
  <c r="X501" i="5"/>
  <c r="V502" i="5"/>
  <c r="R502" i="5" s="1"/>
  <c r="X502" i="5"/>
  <c r="V503" i="5"/>
  <c r="R503" i="5" s="1"/>
  <c r="X503" i="5"/>
  <c r="V504" i="5"/>
  <c r="R504" i="5" s="1"/>
  <c r="X504" i="5"/>
  <c r="V505" i="5"/>
  <c r="R505" i="5" s="1"/>
  <c r="X505" i="5"/>
  <c r="V506" i="5"/>
  <c r="R506" i="5" s="1"/>
  <c r="X506" i="5"/>
  <c r="V507" i="5"/>
  <c r="R507" i="5" s="1"/>
  <c r="X507" i="5"/>
  <c r="V508" i="5"/>
  <c r="R508" i="5" s="1"/>
  <c r="X508" i="5"/>
  <c r="V509" i="5"/>
  <c r="R509" i="5" s="1"/>
  <c r="X509" i="5"/>
  <c r="V510" i="5"/>
  <c r="R510" i="5" s="1"/>
  <c r="X510" i="5"/>
  <c r="V511" i="5"/>
  <c r="R511" i="5" s="1"/>
  <c r="X511" i="5"/>
  <c r="V512" i="5"/>
  <c r="R512" i="5" s="1"/>
  <c r="X512" i="5"/>
  <c r="V513" i="5"/>
  <c r="R513" i="5" s="1"/>
  <c r="X513" i="5"/>
  <c r="V514" i="5"/>
  <c r="R514" i="5" s="1"/>
  <c r="X514" i="5"/>
  <c r="V515" i="5"/>
  <c r="R515" i="5" s="1"/>
  <c r="X515" i="5"/>
  <c r="V516" i="5"/>
  <c r="R516" i="5" s="1"/>
  <c r="X516" i="5"/>
  <c r="V517" i="5"/>
  <c r="R517" i="5" s="1"/>
  <c r="X517" i="5"/>
  <c r="V518" i="5"/>
  <c r="R518" i="5" s="1"/>
  <c r="X518" i="5"/>
  <c r="V519" i="5"/>
  <c r="R519" i="5" s="1"/>
  <c r="X519" i="5"/>
  <c r="V520" i="5"/>
  <c r="R520" i="5" s="1"/>
  <c r="X520" i="5"/>
  <c r="V521" i="5"/>
  <c r="R521" i="5" s="1"/>
  <c r="X521" i="5"/>
  <c r="V522" i="5"/>
  <c r="X522" i="5"/>
  <c r="V523" i="5"/>
  <c r="R523" i="5" s="1"/>
  <c r="X523" i="5"/>
  <c r="V524" i="5"/>
  <c r="R524" i="5" s="1"/>
  <c r="X524" i="5"/>
  <c r="V525" i="5"/>
  <c r="R525" i="5" s="1"/>
  <c r="X525" i="5"/>
  <c r="V526" i="5"/>
  <c r="R526" i="5" s="1"/>
  <c r="X526" i="5"/>
  <c r="V527" i="5"/>
  <c r="R527" i="5" s="1"/>
  <c r="X527" i="5"/>
  <c r="V528" i="5"/>
  <c r="R528" i="5" s="1"/>
  <c r="X528" i="5"/>
  <c r="V529" i="5"/>
  <c r="R529" i="5" s="1"/>
  <c r="X529" i="5"/>
  <c r="V530" i="5"/>
  <c r="R530" i="5" s="1"/>
  <c r="X530" i="5"/>
  <c r="V531" i="5"/>
  <c r="R531" i="5" s="1"/>
  <c r="X531" i="5"/>
  <c r="V532" i="5"/>
  <c r="R532" i="5" s="1"/>
  <c r="X532" i="5"/>
  <c r="V533" i="5"/>
  <c r="R533" i="5" s="1"/>
  <c r="X533" i="5"/>
  <c r="V534" i="5"/>
  <c r="R534" i="5" s="1"/>
  <c r="X534" i="5"/>
  <c r="V535" i="5"/>
  <c r="R535" i="5" s="1"/>
  <c r="X535" i="5"/>
  <c r="V536" i="5"/>
  <c r="R536" i="5" s="1"/>
  <c r="X536" i="5"/>
  <c r="V537" i="5"/>
  <c r="R537" i="5" s="1"/>
  <c r="X537" i="5"/>
  <c r="V538" i="5"/>
  <c r="R538" i="5" s="1"/>
  <c r="X538" i="5"/>
  <c r="V539" i="5"/>
  <c r="R539" i="5" s="1"/>
  <c r="X539" i="5"/>
  <c r="V540" i="5"/>
  <c r="R540" i="5" s="1"/>
  <c r="X540" i="5"/>
  <c r="V541" i="5"/>
  <c r="R541" i="5" s="1"/>
  <c r="X541" i="5"/>
  <c r="V542" i="5"/>
  <c r="R542" i="5" s="1"/>
  <c r="X542" i="5"/>
  <c r="V543" i="5"/>
  <c r="R543" i="5" s="1"/>
  <c r="X543" i="5"/>
  <c r="V544" i="5"/>
  <c r="R544" i="5" s="1"/>
  <c r="X544" i="5"/>
  <c r="V545" i="5"/>
  <c r="R545" i="5" s="1"/>
  <c r="X545" i="5"/>
  <c r="V546" i="5"/>
  <c r="R546" i="5" s="1"/>
  <c r="X546" i="5"/>
  <c r="V547" i="5"/>
  <c r="R547" i="5" s="1"/>
  <c r="X547" i="5"/>
  <c r="V548" i="5"/>
  <c r="R548" i="5" s="1"/>
  <c r="X548" i="5"/>
  <c r="V549" i="5"/>
  <c r="R549" i="5" s="1"/>
  <c r="X549" i="5"/>
  <c r="V550" i="5"/>
  <c r="R550" i="5" s="1"/>
  <c r="X550" i="5"/>
  <c r="V551" i="5"/>
  <c r="R551" i="5" s="1"/>
  <c r="X551" i="5"/>
  <c r="V552" i="5"/>
  <c r="R552" i="5" s="1"/>
  <c r="X552" i="5"/>
  <c r="V553" i="5"/>
  <c r="R553" i="5" s="1"/>
  <c r="X553" i="5"/>
  <c r="V554" i="5"/>
  <c r="R554" i="5" s="1"/>
  <c r="X554" i="5"/>
  <c r="V555" i="5"/>
  <c r="R555" i="5" s="1"/>
  <c r="X555" i="5"/>
  <c r="V556" i="5"/>
  <c r="R556" i="5" s="1"/>
  <c r="X556" i="5"/>
  <c r="V557" i="5"/>
  <c r="R557" i="5" s="1"/>
  <c r="X557" i="5"/>
  <c r="V558" i="5"/>
  <c r="R558" i="5" s="1"/>
  <c r="X558" i="5"/>
  <c r="V559" i="5"/>
  <c r="R559" i="5" s="1"/>
  <c r="X559" i="5"/>
  <c r="V560" i="5"/>
  <c r="R560" i="5" s="1"/>
  <c r="X560" i="5"/>
  <c r="V561" i="5"/>
  <c r="R561" i="5" s="1"/>
  <c r="X561" i="5"/>
  <c r="V562" i="5"/>
  <c r="R562" i="5" s="1"/>
  <c r="X562" i="5"/>
  <c r="V563" i="5"/>
  <c r="R563" i="5" s="1"/>
  <c r="X563" i="5"/>
  <c r="V564" i="5"/>
  <c r="R564" i="5" s="1"/>
  <c r="X564" i="5"/>
  <c r="V565" i="5"/>
  <c r="R565" i="5" s="1"/>
  <c r="X565" i="5"/>
  <c r="V566" i="5"/>
  <c r="R566" i="5" s="1"/>
  <c r="X566" i="5"/>
  <c r="V567" i="5"/>
  <c r="R567" i="5" s="1"/>
  <c r="X567" i="5"/>
  <c r="V568" i="5"/>
  <c r="R568" i="5" s="1"/>
  <c r="X568" i="5"/>
  <c r="V569" i="5"/>
  <c r="X569" i="5"/>
  <c r="V570" i="5"/>
  <c r="R570" i="5" s="1"/>
  <c r="X570" i="5"/>
  <c r="V571" i="5"/>
  <c r="R571" i="5" s="1"/>
  <c r="X571" i="5"/>
  <c r="V572" i="5"/>
  <c r="R572" i="5" s="1"/>
  <c r="X572" i="5"/>
  <c r="V573" i="5"/>
  <c r="R573" i="5" s="1"/>
  <c r="X573" i="5"/>
  <c r="V574" i="5"/>
  <c r="R574" i="5" s="1"/>
  <c r="X574" i="5"/>
  <c r="V575" i="5"/>
  <c r="R575" i="5" s="1"/>
  <c r="X575" i="5"/>
  <c r="V576" i="5"/>
  <c r="R576" i="5" s="1"/>
  <c r="X576" i="5"/>
  <c r="V577" i="5"/>
  <c r="R577" i="5" s="1"/>
  <c r="X577" i="5"/>
  <c r="V578" i="5"/>
  <c r="R578" i="5" s="1"/>
  <c r="X578" i="5"/>
  <c r="V579" i="5"/>
  <c r="R579" i="5" s="1"/>
  <c r="X579" i="5"/>
  <c r="V580" i="5"/>
  <c r="R580" i="5" s="1"/>
  <c r="X580" i="5"/>
  <c r="V581" i="5"/>
  <c r="R581" i="5" s="1"/>
  <c r="X581" i="5"/>
  <c r="V582" i="5"/>
  <c r="R582" i="5" s="1"/>
  <c r="X582" i="5"/>
  <c r="V583" i="5"/>
  <c r="R583" i="5" s="1"/>
  <c r="X583" i="5"/>
  <c r="V584" i="5"/>
  <c r="R584" i="5" s="1"/>
  <c r="X584" i="5"/>
  <c r="V585" i="5"/>
  <c r="R585" i="5" s="1"/>
  <c r="X585" i="5"/>
  <c r="V586" i="5"/>
  <c r="R586" i="5" s="1"/>
  <c r="X586" i="5"/>
  <c r="V587" i="5"/>
  <c r="X587" i="5"/>
  <c r="V588" i="5"/>
  <c r="R588" i="5" s="1"/>
  <c r="X588" i="5"/>
  <c r="V589" i="5"/>
  <c r="R589" i="5" s="1"/>
  <c r="X589" i="5"/>
  <c r="V590" i="5"/>
  <c r="R590" i="5" s="1"/>
  <c r="X590" i="5"/>
  <c r="V591" i="5"/>
  <c r="R591" i="5" s="1"/>
  <c r="X591" i="5"/>
  <c r="V592" i="5"/>
  <c r="R592" i="5" s="1"/>
  <c r="X592" i="5"/>
  <c r="V593" i="5"/>
  <c r="R593" i="5" s="1"/>
  <c r="X593" i="5"/>
  <c r="V594" i="5"/>
  <c r="R594" i="5" s="1"/>
  <c r="X594" i="5"/>
  <c r="V595" i="5"/>
  <c r="R595" i="5" s="1"/>
  <c r="X595" i="5"/>
  <c r="V596" i="5"/>
  <c r="R596" i="5" s="1"/>
  <c r="X596" i="5"/>
  <c r="V597" i="5"/>
  <c r="R597" i="5" s="1"/>
  <c r="X597" i="5"/>
  <c r="V598" i="5"/>
  <c r="R598" i="5" s="1"/>
  <c r="X598" i="5"/>
  <c r="V599" i="5"/>
  <c r="R599" i="5" s="1"/>
  <c r="X599" i="5"/>
  <c r="V600" i="5"/>
  <c r="R600" i="5" s="1"/>
  <c r="X600" i="5"/>
  <c r="V601" i="5"/>
  <c r="R601" i="5" s="1"/>
  <c r="X601" i="5"/>
  <c r="V602" i="5"/>
  <c r="R602" i="5" s="1"/>
  <c r="X602" i="5"/>
  <c r="V603" i="5"/>
  <c r="R603" i="5" s="1"/>
  <c r="X603" i="5"/>
  <c r="V604" i="5"/>
  <c r="R604" i="5" s="1"/>
  <c r="X604" i="5"/>
  <c r="V605" i="5"/>
  <c r="X605" i="5"/>
  <c r="V606" i="5"/>
  <c r="R606" i="5" s="1"/>
  <c r="X606" i="5"/>
  <c r="V607" i="5"/>
  <c r="R607" i="5" s="1"/>
  <c r="X607" i="5"/>
  <c r="V608" i="5"/>
  <c r="R608" i="5" s="1"/>
  <c r="X608" i="5"/>
  <c r="V609" i="5"/>
  <c r="R609" i="5" s="1"/>
  <c r="X609" i="5"/>
  <c r="V610" i="5"/>
  <c r="R610" i="5" s="1"/>
  <c r="X610" i="5"/>
  <c r="V611" i="5"/>
  <c r="R611" i="5" s="1"/>
  <c r="X611" i="5"/>
  <c r="V612" i="5"/>
  <c r="R612" i="5" s="1"/>
  <c r="X612" i="5"/>
  <c r="V613" i="5"/>
  <c r="R613" i="5" s="1"/>
  <c r="X613" i="5"/>
  <c r="V614" i="5"/>
  <c r="R614" i="5" s="1"/>
  <c r="X614" i="5"/>
  <c r="V615" i="5"/>
  <c r="R615" i="5" s="1"/>
  <c r="X615" i="5"/>
  <c r="V616" i="5"/>
  <c r="R616" i="5" s="1"/>
  <c r="X616" i="5"/>
  <c r="V617" i="5"/>
  <c r="R617" i="5" s="1"/>
  <c r="X617" i="5"/>
  <c r="V618" i="5"/>
  <c r="R618" i="5" s="1"/>
  <c r="X618" i="5"/>
  <c r="V619" i="5"/>
  <c r="R619" i="5" s="1"/>
  <c r="X619" i="5"/>
  <c r="V620" i="5"/>
  <c r="R620" i="5" s="1"/>
  <c r="X620" i="5"/>
  <c r="V621" i="5"/>
  <c r="R621" i="5" s="1"/>
  <c r="X621" i="5"/>
  <c r="V622" i="5"/>
  <c r="R622" i="5" s="1"/>
  <c r="X622" i="5"/>
  <c r="V623" i="5"/>
  <c r="R623" i="5" s="1"/>
  <c r="X623" i="5"/>
  <c r="V624" i="5"/>
  <c r="R624" i="5" s="1"/>
  <c r="X624" i="5"/>
  <c r="V625" i="5"/>
  <c r="R625" i="5" s="1"/>
  <c r="X625" i="5"/>
  <c r="V626" i="5"/>
  <c r="R626" i="5" s="1"/>
  <c r="X626" i="5"/>
  <c r="V627" i="5"/>
  <c r="R627" i="5" s="1"/>
  <c r="X627" i="5"/>
  <c r="V628" i="5"/>
  <c r="R628" i="5" s="1"/>
  <c r="X628" i="5"/>
  <c r="V629" i="5"/>
  <c r="R629" i="5" s="1"/>
  <c r="X629" i="5"/>
  <c r="V630" i="5"/>
  <c r="R630" i="5" s="1"/>
  <c r="X630" i="5"/>
  <c r="V631" i="5"/>
  <c r="R631" i="5" s="1"/>
  <c r="X631" i="5"/>
  <c r="V632" i="5"/>
  <c r="R632" i="5" s="1"/>
  <c r="X632" i="5"/>
  <c r="V633" i="5"/>
  <c r="R633" i="5" s="1"/>
  <c r="X633" i="5"/>
  <c r="V634" i="5"/>
  <c r="R634" i="5" s="1"/>
  <c r="X634" i="5"/>
  <c r="V635" i="5"/>
  <c r="R635" i="5" s="1"/>
  <c r="X635" i="5"/>
  <c r="V636" i="5"/>
  <c r="R636" i="5" s="1"/>
  <c r="X636" i="5"/>
  <c r="V637" i="5"/>
  <c r="R637" i="5" s="1"/>
  <c r="X637" i="5"/>
  <c r="V638" i="5"/>
  <c r="R638" i="5" s="1"/>
  <c r="X638" i="5"/>
  <c r="V639" i="5"/>
  <c r="R639" i="5" s="1"/>
  <c r="X639" i="5"/>
  <c r="V640" i="5"/>
  <c r="R640" i="5" s="1"/>
  <c r="X640" i="5"/>
  <c r="V641" i="5"/>
  <c r="R641" i="5" s="1"/>
  <c r="X641" i="5"/>
  <c r="V642" i="5"/>
  <c r="R642" i="5" s="1"/>
  <c r="X642" i="5"/>
  <c r="V643" i="5"/>
  <c r="R643" i="5" s="1"/>
  <c r="X643" i="5"/>
  <c r="V644" i="5"/>
  <c r="R644" i="5" s="1"/>
  <c r="X644" i="5"/>
  <c r="V645" i="5"/>
  <c r="R645" i="5" s="1"/>
  <c r="X645" i="5"/>
  <c r="V646" i="5"/>
  <c r="R646" i="5" s="1"/>
  <c r="X646" i="5"/>
  <c r="V647" i="5"/>
  <c r="X647" i="5"/>
  <c r="V648" i="5"/>
  <c r="X648" i="5"/>
  <c r="V649" i="5"/>
  <c r="R649" i="5" s="1"/>
  <c r="X649" i="5"/>
  <c r="V650" i="5"/>
  <c r="R650" i="5" s="1"/>
  <c r="X650" i="5"/>
  <c r="V651" i="5"/>
  <c r="R651" i="5" s="1"/>
  <c r="X651" i="5"/>
  <c r="V652" i="5"/>
  <c r="R652" i="5" s="1"/>
  <c r="X652" i="5"/>
  <c r="V653" i="5"/>
  <c r="R653" i="5" s="1"/>
  <c r="X653" i="5"/>
  <c r="V654" i="5"/>
  <c r="R654" i="5" s="1"/>
  <c r="X654" i="5"/>
  <c r="V655" i="5"/>
  <c r="R655" i="5" s="1"/>
  <c r="X655" i="5"/>
  <c r="V656" i="5"/>
  <c r="R656" i="5" s="1"/>
  <c r="X656" i="5"/>
  <c r="V657" i="5"/>
  <c r="R657" i="5" s="1"/>
  <c r="X657" i="5"/>
  <c r="V658" i="5"/>
  <c r="R658" i="5" s="1"/>
  <c r="X658" i="5"/>
  <c r="V659" i="5"/>
  <c r="R659" i="5" s="1"/>
  <c r="X659" i="5"/>
  <c r="V660" i="5"/>
  <c r="R660" i="5" s="1"/>
  <c r="X660" i="5"/>
  <c r="V661" i="5"/>
  <c r="R661" i="5" s="1"/>
  <c r="X661" i="5"/>
  <c r="V662" i="5"/>
  <c r="R662" i="5" s="1"/>
  <c r="X662" i="5"/>
  <c r="V663" i="5"/>
  <c r="R663" i="5" s="1"/>
  <c r="X663" i="5"/>
  <c r="V664" i="5"/>
  <c r="R664" i="5" s="1"/>
  <c r="X664" i="5"/>
  <c r="V665" i="5"/>
  <c r="R665" i="5" s="1"/>
  <c r="X665" i="5"/>
  <c r="V666" i="5"/>
  <c r="R666" i="5" s="1"/>
  <c r="X666" i="5"/>
  <c r="V667" i="5"/>
  <c r="R667" i="5" s="1"/>
  <c r="X667" i="5"/>
  <c r="V668" i="5"/>
  <c r="R668" i="5" s="1"/>
  <c r="X668" i="5"/>
  <c r="V669" i="5"/>
  <c r="R669" i="5" s="1"/>
  <c r="X669" i="5"/>
  <c r="V670" i="5"/>
  <c r="R670" i="5" s="1"/>
  <c r="X670" i="5"/>
  <c r="V671" i="5"/>
  <c r="R671" i="5" s="1"/>
  <c r="X671" i="5"/>
  <c r="V672" i="5"/>
  <c r="R672" i="5" s="1"/>
  <c r="X672" i="5"/>
  <c r="V673" i="5"/>
  <c r="R673" i="5" s="1"/>
  <c r="X673" i="5"/>
  <c r="V674" i="5"/>
  <c r="R674" i="5" s="1"/>
  <c r="X674" i="5"/>
  <c r="V675" i="5"/>
  <c r="R675" i="5" s="1"/>
  <c r="X675" i="5"/>
  <c r="V676" i="5"/>
  <c r="R676" i="5" s="1"/>
  <c r="X676" i="5"/>
  <c r="V677" i="5"/>
  <c r="R677" i="5" s="1"/>
  <c r="X677" i="5"/>
  <c r="V678" i="5"/>
  <c r="R678" i="5" s="1"/>
  <c r="X678" i="5"/>
  <c r="V679" i="5"/>
  <c r="R679" i="5" s="1"/>
  <c r="X679" i="5"/>
  <c r="V680" i="5"/>
  <c r="R680" i="5" s="1"/>
  <c r="X680" i="5"/>
  <c r="V681" i="5"/>
  <c r="R681" i="5" s="1"/>
  <c r="X681" i="5"/>
  <c r="V682" i="5"/>
  <c r="R682" i="5" s="1"/>
  <c r="X682" i="5"/>
  <c r="V683" i="5"/>
  <c r="R683" i="5" s="1"/>
  <c r="X683" i="5"/>
  <c r="V684" i="5"/>
  <c r="R684" i="5" s="1"/>
  <c r="X684" i="5"/>
  <c r="V685" i="5"/>
  <c r="R685" i="5" s="1"/>
  <c r="X685" i="5"/>
  <c r="V686" i="5"/>
  <c r="R686" i="5" s="1"/>
  <c r="X686" i="5"/>
  <c r="V687" i="5"/>
  <c r="R687" i="5" s="1"/>
  <c r="X687" i="5"/>
  <c r="V688" i="5"/>
  <c r="R688" i="5" s="1"/>
  <c r="X688" i="5"/>
  <c r="V689" i="5"/>
  <c r="R689" i="5" s="1"/>
  <c r="X689" i="5"/>
  <c r="V690" i="5"/>
  <c r="R690" i="5" s="1"/>
  <c r="X690" i="5"/>
  <c r="V691" i="5"/>
  <c r="R691" i="5" s="1"/>
  <c r="X691" i="5"/>
  <c r="V692" i="5"/>
  <c r="R692" i="5" s="1"/>
  <c r="X692" i="5"/>
  <c r="V693" i="5"/>
  <c r="R693" i="5" s="1"/>
  <c r="X693" i="5"/>
  <c r="V694" i="5"/>
  <c r="R694" i="5" s="1"/>
  <c r="X694" i="5"/>
  <c r="V695" i="5"/>
  <c r="R695" i="5" s="1"/>
  <c r="X695" i="5"/>
  <c r="V696" i="5"/>
  <c r="R696" i="5" s="1"/>
  <c r="X696" i="5"/>
  <c r="V697" i="5"/>
  <c r="R697" i="5" s="1"/>
  <c r="X697" i="5"/>
  <c r="V698" i="5"/>
  <c r="R698" i="5" s="1"/>
  <c r="X698" i="5"/>
  <c r="V699" i="5"/>
  <c r="R699" i="5" s="1"/>
  <c r="X699" i="5"/>
  <c r="V700" i="5"/>
  <c r="R700" i="5" s="1"/>
  <c r="X700" i="5"/>
  <c r="V701" i="5"/>
  <c r="R701" i="5" s="1"/>
  <c r="X701" i="5"/>
  <c r="V702" i="5"/>
  <c r="R702" i="5" s="1"/>
  <c r="X702" i="5"/>
  <c r="V703" i="5"/>
  <c r="R703" i="5" s="1"/>
  <c r="X703" i="5"/>
  <c r="V704" i="5"/>
  <c r="R704" i="5" s="1"/>
  <c r="X704" i="5"/>
  <c r="V705" i="5"/>
  <c r="R705" i="5" s="1"/>
  <c r="X705" i="5"/>
  <c r="V706" i="5"/>
  <c r="R706" i="5" s="1"/>
  <c r="X706" i="5"/>
  <c r="V707" i="5"/>
  <c r="R707" i="5" s="1"/>
  <c r="X707" i="5"/>
  <c r="V708" i="5"/>
  <c r="R708" i="5" s="1"/>
  <c r="X708" i="5"/>
  <c r="V709" i="5"/>
  <c r="R709" i="5" s="1"/>
  <c r="X709" i="5"/>
  <c r="V710" i="5"/>
  <c r="R710" i="5" s="1"/>
  <c r="X710" i="5"/>
  <c r="V711" i="5"/>
  <c r="R711" i="5" s="1"/>
  <c r="X711" i="5"/>
  <c r="V712" i="5"/>
  <c r="R712" i="5" s="1"/>
  <c r="X712" i="5"/>
  <c r="V713" i="5"/>
  <c r="R713" i="5" s="1"/>
  <c r="X713" i="5"/>
  <c r="V714" i="5"/>
  <c r="R714" i="5" s="1"/>
  <c r="X714" i="5"/>
  <c r="V715" i="5"/>
  <c r="R715" i="5" s="1"/>
  <c r="X715" i="5"/>
  <c r="V716" i="5"/>
  <c r="R716" i="5" s="1"/>
  <c r="X716" i="5"/>
  <c r="V717" i="5"/>
  <c r="R717" i="5" s="1"/>
  <c r="X717" i="5"/>
  <c r="V718" i="5"/>
  <c r="R718" i="5" s="1"/>
  <c r="X718" i="5"/>
  <c r="V719" i="5"/>
  <c r="R719" i="5" s="1"/>
  <c r="X719" i="5"/>
  <c r="V720" i="5"/>
  <c r="R720" i="5" s="1"/>
  <c r="X720" i="5"/>
  <c r="V721" i="5"/>
  <c r="R721" i="5" s="1"/>
  <c r="X721" i="5"/>
  <c r="V722" i="5"/>
  <c r="R722" i="5" s="1"/>
  <c r="X722" i="5"/>
  <c r="V723" i="5"/>
  <c r="R723" i="5" s="1"/>
  <c r="X723" i="5"/>
  <c r="V724" i="5"/>
  <c r="R724" i="5" s="1"/>
  <c r="X724" i="5"/>
  <c r="V725" i="5"/>
  <c r="R725" i="5" s="1"/>
  <c r="X725" i="5"/>
  <c r="V726" i="5"/>
  <c r="R726" i="5" s="1"/>
  <c r="X726" i="5"/>
  <c r="V727" i="5"/>
  <c r="R727" i="5" s="1"/>
  <c r="X727" i="5"/>
  <c r="V728" i="5"/>
  <c r="R728" i="5" s="1"/>
  <c r="X728" i="5"/>
  <c r="V729" i="5"/>
  <c r="R729" i="5" s="1"/>
  <c r="X729" i="5"/>
  <c r="V730" i="5"/>
  <c r="R730" i="5" s="1"/>
  <c r="X730" i="5"/>
  <c r="V731" i="5"/>
  <c r="R731" i="5" s="1"/>
  <c r="X731" i="5"/>
  <c r="V732" i="5"/>
  <c r="R732" i="5" s="1"/>
  <c r="X732" i="5"/>
  <c r="V733" i="5"/>
  <c r="R733" i="5" s="1"/>
  <c r="X733" i="5"/>
  <c r="V734" i="5"/>
  <c r="R734" i="5" s="1"/>
  <c r="X734" i="5"/>
  <c r="V735" i="5"/>
  <c r="R735" i="5" s="1"/>
  <c r="X735" i="5"/>
  <c r="V736" i="5"/>
  <c r="R736" i="5" s="1"/>
  <c r="X736" i="5"/>
  <c r="V737" i="5"/>
  <c r="R737" i="5" s="1"/>
  <c r="X737" i="5"/>
  <c r="V738" i="5"/>
  <c r="R738" i="5" s="1"/>
  <c r="X738" i="5"/>
  <c r="V739" i="5"/>
  <c r="R739" i="5" s="1"/>
  <c r="X739" i="5"/>
  <c r="V740" i="5"/>
  <c r="R740" i="5" s="1"/>
  <c r="X740" i="5"/>
  <c r="V741" i="5"/>
  <c r="R741" i="5" s="1"/>
  <c r="X741" i="5"/>
  <c r="V742" i="5"/>
  <c r="R742" i="5" s="1"/>
  <c r="X742" i="5"/>
  <c r="V743" i="5"/>
  <c r="R743" i="5" s="1"/>
  <c r="X743" i="5"/>
  <c r="V744" i="5"/>
  <c r="R744" i="5" s="1"/>
  <c r="X744" i="5"/>
  <c r="V745" i="5"/>
  <c r="R745" i="5" s="1"/>
  <c r="X745" i="5"/>
  <c r="V746" i="5"/>
  <c r="R746" i="5" s="1"/>
  <c r="X746" i="5"/>
  <c r="V747" i="5"/>
  <c r="R747" i="5" s="1"/>
  <c r="X747" i="5"/>
  <c r="V748" i="5"/>
  <c r="R748" i="5" s="1"/>
  <c r="X748" i="5"/>
  <c r="V749" i="5"/>
  <c r="R749" i="5" s="1"/>
  <c r="X749" i="5"/>
  <c r="V750" i="5"/>
  <c r="R750" i="5" s="1"/>
  <c r="X750" i="5"/>
  <c r="V751" i="5"/>
  <c r="R751" i="5" s="1"/>
  <c r="X751" i="5"/>
  <c r="V752" i="5"/>
  <c r="R752" i="5" s="1"/>
  <c r="X752" i="5"/>
  <c r="V753" i="5"/>
  <c r="R753" i="5" s="1"/>
  <c r="X753" i="5"/>
  <c r="V754" i="5"/>
  <c r="R754" i="5" s="1"/>
  <c r="X754" i="5"/>
  <c r="V755" i="5"/>
  <c r="R755" i="5" s="1"/>
  <c r="X755" i="5"/>
  <c r="V756" i="5"/>
  <c r="R756" i="5" s="1"/>
  <c r="X756" i="5"/>
  <c r="V757" i="5"/>
  <c r="R757" i="5" s="1"/>
  <c r="X757" i="5"/>
  <c r="V758" i="5"/>
  <c r="R758" i="5" s="1"/>
  <c r="X758" i="5"/>
  <c r="V759" i="5"/>
  <c r="R759" i="5" s="1"/>
  <c r="X759" i="5"/>
  <c r="V760" i="5"/>
  <c r="R760" i="5" s="1"/>
  <c r="X760" i="5"/>
  <c r="V761" i="5"/>
  <c r="R761" i="5" s="1"/>
  <c r="X761" i="5"/>
  <c r="V762" i="5"/>
  <c r="R762" i="5" s="1"/>
  <c r="X762" i="5"/>
  <c r="V763" i="5"/>
  <c r="R763" i="5" s="1"/>
  <c r="X763" i="5"/>
  <c r="V764" i="5"/>
  <c r="R764" i="5" s="1"/>
  <c r="X764" i="5"/>
  <c r="V765" i="5"/>
  <c r="R765" i="5" s="1"/>
  <c r="X765" i="5"/>
  <c r="V766" i="5"/>
  <c r="R766" i="5" s="1"/>
  <c r="X766" i="5"/>
  <c r="V767" i="5"/>
  <c r="R767" i="5" s="1"/>
  <c r="X767" i="5"/>
  <c r="V768" i="5"/>
  <c r="R768" i="5" s="1"/>
  <c r="X768" i="5"/>
  <c r="V769" i="5"/>
  <c r="R769" i="5" s="1"/>
  <c r="X769" i="5"/>
  <c r="V770" i="5"/>
  <c r="R770" i="5" s="1"/>
  <c r="X770" i="5"/>
  <c r="V771" i="5"/>
  <c r="R771" i="5" s="1"/>
  <c r="X771" i="5"/>
  <c r="V772" i="5"/>
  <c r="R772" i="5" s="1"/>
  <c r="X772" i="5"/>
  <c r="V773" i="5"/>
  <c r="R773" i="5" s="1"/>
  <c r="X773" i="5"/>
  <c r="V774" i="5"/>
  <c r="R774" i="5" s="1"/>
  <c r="X774" i="5"/>
  <c r="V775" i="5"/>
  <c r="R775" i="5" s="1"/>
  <c r="X775" i="5"/>
  <c r="V776" i="5"/>
  <c r="R776" i="5" s="1"/>
  <c r="X776" i="5"/>
  <c r="V777" i="5"/>
  <c r="R777" i="5" s="1"/>
  <c r="X777" i="5"/>
  <c r="V778" i="5"/>
  <c r="R778" i="5" s="1"/>
  <c r="X778" i="5"/>
  <c r="V779" i="5"/>
  <c r="R779" i="5" s="1"/>
  <c r="X779" i="5"/>
  <c r="V780" i="5"/>
  <c r="R780" i="5" s="1"/>
  <c r="X780" i="5"/>
  <c r="V781" i="5"/>
  <c r="R781" i="5" s="1"/>
  <c r="X781" i="5"/>
  <c r="V782" i="5"/>
  <c r="R782" i="5" s="1"/>
  <c r="X782" i="5"/>
  <c r="V783" i="5"/>
  <c r="R783" i="5" s="1"/>
  <c r="X783" i="5"/>
  <c r="V784" i="5"/>
  <c r="R784" i="5" s="1"/>
  <c r="X784" i="5"/>
  <c r="V785" i="5"/>
  <c r="R785" i="5" s="1"/>
  <c r="X785" i="5"/>
  <c r="V786" i="5"/>
  <c r="R786" i="5" s="1"/>
  <c r="X786" i="5"/>
  <c r="V787" i="5"/>
  <c r="R787" i="5" s="1"/>
  <c r="X787" i="5"/>
  <c r="V788" i="5"/>
  <c r="R788" i="5" s="1"/>
  <c r="X788" i="5"/>
  <c r="V789" i="5"/>
  <c r="R789" i="5" s="1"/>
  <c r="X789" i="5"/>
  <c r="V790" i="5"/>
  <c r="R790" i="5" s="1"/>
  <c r="X790" i="5"/>
  <c r="V791" i="5"/>
  <c r="R791" i="5" s="1"/>
  <c r="X791" i="5"/>
  <c r="V792" i="5"/>
  <c r="R792" i="5" s="1"/>
  <c r="X792" i="5"/>
  <c r="V793" i="5"/>
  <c r="R793" i="5" s="1"/>
  <c r="X793" i="5"/>
  <c r="V794" i="5"/>
  <c r="R794" i="5" s="1"/>
  <c r="X794" i="5"/>
  <c r="V795" i="5"/>
  <c r="R795" i="5" s="1"/>
  <c r="X795" i="5"/>
  <c r="V796" i="5"/>
  <c r="R796" i="5" s="1"/>
  <c r="X796" i="5"/>
  <c r="V797" i="5"/>
  <c r="R797" i="5" s="1"/>
  <c r="X797" i="5"/>
  <c r="V798" i="5"/>
  <c r="R798" i="5" s="1"/>
  <c r="X798" i="5"/>
  <c r="V799" i="5"/>
  <c r="R799" i="5" s="1"/>
  <c r="X799" i="5"/>
  <c r="V800" i="5"/>
  <c r="R800" i="5" s="1"/>
  <c r="X800" i="5"/>
  <c r="V801" i="5"/>
  <c r="R801" i="5" s="1"/>
  <c r="X801" i="5"/>
  <c r="V802" i="5"/>
  <c r="R802" i="5" s="1"/>
  <c r="X802" i="5"/>
  <c r="V803" i="5"/>
  <c r="R803" i="5" s="1"/>
  <c r="X803" i="5"/>
  <c r="V804" i="5"/>
  <c r="R804" i="5" s="1"/>
  <c r="X804" i="5"/>
  <c r="V805" i="5"/>
  <c r="R805" i="5" s="1"/>
  <c r="X805" i="5"/>
  <c r="V806" i="5"/>
  <c r="R806" i="5" s="1"/>
  <c r="X806" i="5"/>
  <c r="V807" i="5"/>
  <c r="R807" i="5" s="1"/>
  <c r="X807" i="5"/>
  <c r="V808" i="5"/>
  <c r="R808" i="5" s="1"/>
  <c r="X808" i="5"/>
  <c r="V809" i="5"/>
  <c r="R809" i="5" s="1"/>
  <c r="X809" i="5"/>
  <c r="V810" i="5"/>
  <c r="R810" i="5" s="1"/>
  <c r="X810" i="5"/>
  <c r="V811" i="5"/>
  <c r="R811" i="5" s="1"/>
  <c r="X811" i="5"/>
  <c r="V812" i="5"/>
  <c r="R812" i="5" s="1"/>
  <c r="X812" i="5"/>
  <c r="V813" i="5"/>
  <c r="R813" i="5" s="1"/>
  <c r="X813" i="5"/>
  <c r="V814" i="5"/>
  <c r="R814" i="5" s="1"/>
  <c r="X814" i="5"/>
  <c r="V815" i="5"/>
  <c r="R815" i="5" s="1"/>
  <c r="X815" i="5"/>
  <c r="V816" i="5"/>
  <c r="R816" i="5" s="1"/>
  <c r="X816" i="5"/>
  <c r="V817" i="5"/>
  <c r="R817" i="5" s="1"/>
  <c r="X817" i="5"/>
  <c r="V818" i="5"/>
  <c r="R818" i="5" s="1"/>
  <c r="X818" i="5"/>
  <c r="V819" i="5"/>
  <c r="R819" i="5" s="1"/>
  <c r="X819" i="5"/>
  <c r="V820" i="5"/>
  <c r="R820" i="5" s="1"/>
  <c r="X820" i="5"/>
  <c r="V821" i="5"/>
  <c r="R821" i="5" s="1"/>
  <c r="X821" i="5"/>
  <c r="V822" i="5"/>
  <c r="R822" i="5" s="1"/>
  <c r="X822" i="5"/>
  <c r="V823" i="5"/>
  <c r="R823" i="5" s="1"/>
  <c r="X823" i="5"/>
  <c r="V824" i="5"/>
  <c r="R824" i="5" s="1"/>
  <c r="X824" i="5"/>
  <c r="V825" i="5"/>
  <c r="R825" i="5" s="1"/>
  <c r="X825" i="5"/>
  <c r="V826" i="5"/>
  <c r="R826" i="5" s="1"/>
  <c r="X826" i="5"/>
  <c r="V827" i="5"/>
  <c r="R827" i="5" s="1"/>
  <c r="X827" i="5"/>
  <c r="V828" i="5"/>
  <c r="R828" i="5" s="1"/>
  <c r="X828" i="5"/>
  <c r="V829" i="5"/>
  <c r="R829" i="5" s="1"/>
  <c r="X829" i="5"/>
  <c r="V830" i="5"/>
  <c r="R830" i="5" s="1"/>
  <c r="X830" i="5"/>
  <c r="V831" i="5"/>
  <c r="R831" i="5" s="1"/>
  <c r="X831" i="5"/>
  <c r="V832" i="5"/>
  <c r="R832" i="5" s="1"/>
  <c r="X832" i="5"/>
  <c r="V833" i="5"/>
  <c r="X833" i="5"/>
  <c r="V834" i="5"/>
  <c r="R834" i="5" s="1"/>
  <c r="X834" i="5"/>
  <c r="V835" i="5"/>
  <c r="R835" i="5" s="1"/>
  <c r="X835" i="5"/>
  <c r="V836" i="5"/>
  <c r="R836" i="5" s="1"/>
  <c r="X836" i="5"/>
  <c r="V837" i="5"/>
  <c r="R837" i="5" s="1"/>
  <c r="X837" i="5"/>
  <c r="V838" i="5"/>
  <c r="R838" i="5" s="1"/>
  <c r="X838" i="5"/>
  <c r="V839" i="5"/>
  <c r="R839" i="5" s="1"/>
  <c r="X839" i="5"/>
  <c r="V840" i="5"/>
  <c r="R840" i="5" s="1"/>
  <c r="X840" i="5"/>
  <c r="V841" i="5"/>
  <c r="R841" i="5" s="1"/>
  <c r="X841" i="5"/>
  <c r="V842" i="5"/>
  <c r="R842" i="5" s="1"/>
  <c r="X842" i="5"/>
  <c r="V843" i="5"/>
  <c r="R843" i="5" s="1"/>
  <c r="X843" i="5"/>
  <c r="V844" i="5"/>
  <c r="R844" i="5" s="1"/>
  <c r="X844" i="5"/>
  <c r="V845" i="5"/>
  <c r="R845" i="5" s="1"/>
  <c r="X845" i="5"/>
  <c r="V846" i="5"/>
  <c r="R846" i="5" s="1"/>
  <c r="X846" i="5"/>
  <c r="V847" i="5"/>
  <c r="R847" i="5" s="1"/>
  <c r="X847" i="5"/>
  <c r="V848" i="5"/>
  <c r="R848" i="5" s="1"/>
  <c r="X848" i="5"/>
  <c r="V849" i="5"/>
  <c r="R849" i="5" s="1"/>
  <c r="X849" i="5"/>
  <c r="V850" i="5"/>
  <c r="R850" i="5" s="1"/>
  <c r="X850" i="5"/>
  <c r="V851" i="5"/>
  <c r="R851" i="5" s="1"/>
  <c r="X851" i="5"/>
  <c r="V852" i="5"/>
  <c r="X852" i="5"/>
  <c r="V853" i="5"/>
  <c r="R853" i="5" s="1"/>
  <c r="X853" i="5"/>
  <c r="V854" i="5"/>
  <c r="R854" i="5" s="1"/>
  <c r="X854" i="5"/>
  <c r="V855" i="5"/>
  <c r="R855" i="5" s="1"/>
  <c r="X855" i="5"/>
  <c r="V856" i="5"/>
  <c r="R856" i="5" s="1"/>
  <c r="X856" i="5"/>
  <c r="V857" i="5"/>
  <c r="R857" i="5" s="1"/>
  <c r="X857" i="5"/>
  <c r="V858" i="5"/>
  <c r="R858" i="5" s="1"/>
  <c r="X858" i="5"/>
  <c r="V859" i="5"/>
  <c r="R859" i="5" s="1"/>
  <c r="X859" i="5"/>
  <c r="V860" i="5"/>
  <c r="R860" i="5" s="1"/>
  <c r="X860" i="5"/>
  <c r="V861" i="5"/>
  <c r="R861" i="5" s="1"/>
  <c r="X861" i="5"/>
  <c r="V862" i="5"/>
  <c r="R862" i="5" s="1"/>
  <c r="X862" i="5"/>
  <c r="V863" i="5"/>
  <c r="R863" i="5" s="1"/>
  <c r="X863" i="5"/>
  <c r="V864" i="5"/>
  <c r="R864" i="5" s="1"/>
  <c r="X864" i="5"/>
  <c r="V865" i="5"/>
  <c r="R865" i="5" s="1"/>
  <c r="X865" i="5"/>
  <c r="V866" i="5"/>
  <c r="R866" i="5" s="1"/>
  <c r="X866" i="5"/>
  <c r="V867" i="5"/>
  <c r="R867" i="5" s="1"/>
  <c r="X867" i="5"/>
  <c r="V868" i="5"/>
  <c r="R868" i="5" s="1"/>
  <c r="X868" i="5"/>
  <c r="V869" i="5"/>
  <c r="R869" i="5" s="1"/>
  <c r="X869" i="5"/>
  <c r="V870" i="5"/>
  <c r="R870" i="5" s="1"/>
  <c r="X870" i="5"/>
  <c r="V871" i="5"/>
  <c r="R871" i="5" s="1"/>
  <c r="X871" i="5"/>
  <c r="V872" i="5"/>
  <c r="R872" i="5" s="1"/>
  <c r="X872" i="5"/>
  <c r="V873" i="5"/>
  <c r="R873" i="5" s="1"/>
  <c r="X873" i="5"/>
  <c r="V874" i="5"/>
  <c r="R874" i="5" s="1"/>
  <c r="X874" i="5"/>
  <c r="V875" i="5"/>
  <c r="R875" i="5" s="1"/>
  <c r="X875" i="5"/>
  <c r="V876" i="5"/>
  <c r="R876" i="5" s="1"/>
  <c r="X876" i="5"/>
  <c r="V877" i="5"/>
  <c r="R877" i="5" s="1"/>
  <c r="X877" i="5"/>
  <c r="V878" i="5"/>
  <c r="R878" i="5" s="1"/>
  <c r="X878" i="5"/>
  <c r="V879" i="5"/>
  <c r="R879" i="5" s="1"/>
  <c r="X879" i="5"/>
  <c r="V880" i="5"/>
  <c r="R880" i="5" s="1"/>
  <c r="X880" i="5"/>
  <c r="V881" i="5"/>
  <c r="R881" i="5" s="1"/>
  <c r="X881" i="5"/>
  <c r="V882" i="5"/>
  <c r="R882" i="5" s="1"/>
  <c r="X882" i="5"/>
  <c r="V883" i="5"/>
  <c r="R883" i="5" s="1"/>
  <c r="X883" i="5"/>
  <c r="V884" i="5"/>
  <c r="R884" i="5" s="1"/>
  <c r="X884" i="5"/>
  <c r="V885" i="5"/>
  <c r="R885" i="5" s="1"/>
  <c r="X885" i="5"/>
  <c r="V886" i="5"/>
  <c r="R886" i="5" s="1"/>
  <c r="X886" i="5"/>
  <c r="V887" i="5"/>
  <c r="R887" i="5" s="1"/>
  <c r="X887" i="5"/>
  <c r="V888" i="5"/>
  <c r="R888" i="5" s="1"/>
  <c r="X888" i="5"/>
  <c r="V889" i="5"/>
  <c r="R889" i="5" s="1"/>
  <c r="X889" i="5"/>
  <c r="V890" i="5"/>
  <c r="R890" i="5" s="1"/>
  <c r="X890" i="5"/>
  <c r="V891" i="5"/>
  <c r="R891" i="5" s="1"/>
  <c r="X891" i="5"/>
  <c r="V892" i="5"/>
  <c r="R892" i="5" s="1"/>
  <c r="X892" i="5"/>
  <c r="V893" i="5"/>
  <c r="R893" i="5" s="1"/>
  <c r="X893" i="5"/>
  <c r="V894" i="5"/>
  <c r="R894" i="5" s="1"/>
  <c r="X894" i="5"/>
  <c r="V895" i="5"/>
  <c r="R895" i="5" s="1"/>
  <c r="X895" i="5"/>
  <c r="V896" i="5"/>
  <c r="R896" i="5" s="1"/>
  <c r="X896" i="5"/>
  <c r="V897" i="5"/>
  <c r="R897" i="5" s="1"/>
  <c r="X897" i="5"/>
  <c r="V898" i="5"/>
  <c r="R898" i="5" s="1"/>
  <c r="X898" i="5"/>
  <c r="V899" i="5"/>
  <c r="X899" i="5"/>
  <c r="V900" i="5"/>
  <c r="R900" i="5" s="1"/>
  <c r="X900" i="5"/>
  <c r="V901" i="5"/>
  <c r="R901" i="5" s="1"/>
  <c r="X901" i="5"/>
  <c r="V902" i="5"/>
  <c r="R902" i="5" s="1"/>
  <c r="X902" i="5"/>
  <c r="V903" i="5"/>
  <c r="R903" i="5" s="1"/>
  <c r="X903" i="5"/>
  <c r="V904" i="5"/>
  <c r="R904" i="5" s="1"/>
  <c r="X904" i="5"/>
  <c r="V905" i="5"/>
  <c r="R905" i="5" s="1"/>
  <c r="X905" i="5"/>
  <c r="V906" i="5"/>
  <c r="R906" i="5" s="1"/>
  <c r="X906" i="5"/>
  <c r="V907" i="5"/>
  <c r="R907" i="5" s="1"/>
  <c r="X907" i="5"/>
  <c r="V908" i="5"/>
  <c r="R908" i="5" s="1"/>
  <c r="X908" i="5"/>
  <c r="V909" i="5"/>
  <c r="R909" i="5" s="1"/>
  <c r="X909" i="5"/>
  <c r="V910" i="5"/>
  <c r="R910" i="5" s="1"/>
  <c r="X910" i="5"/>
  <c r="V911" i="5"/>
  <c r="R911" i="5" s="1"/>
  <c r="X911" i="5"/>
  <c r="V912" i="5"/>
  <c r="R912" i="5" s="1"/>
  <c r="X912" i="5"/>
  <c r="V913" i="5"/>
  <c r="R913" i="5" s="1"/>
  <c r="X913" i="5"/>
  <c r="V914" i="5"/>
  <c r="R914" i="5" s="1"/>
  <c r="X914" i="5"/>
  <c r="V915" i="5"/>
  <c r="R915" i="5" s="1"/>
  <c r="X915" i="5"/>
  <c r="V916" i="5"/>
  <c r="R916" i="5" s="1"/>
  <c r="X916" i="5"/>
  <c r="V917" i="5"/>
  <c r="R917" i="5" s="1"/>
  <c r="X917" i="5"/>
  <c r="V918" i="5"/>
  <c r="R918" i="5" s="1"/>
  <c r="X918" i="5"/>
  <c r="V919" i="5"/>
  <c r="R919" i="5" s="1"/>
  <c r="X919" i="5"/>
  <c r="V920" i="5"/>
  <c r="R920" i="5" s="1"/>
  <c r="X920" i="5"/>
  <c r="V921" i="5"/>
  <c r="R921" i="5" s="1"/>
  <c r="X921" i="5"/>
  <c r="V922" i="5"/>
  <c r="R922" i="5" s="1"/>
  <c r="X922" i="5"/>
  <c r="V923" i="5"/>
  <c r="R923" i="5" s="1"/>
  <c r="X923" i="5"/>
  <c r="V924" i="5"/>
  <c r="R924" i="5" s="1"/>
  <c r="X924" i="5"/>
  <c r="V925" i="5"/>
  <c r="R925" i="5" s="1"/>
  <c r="X925" i="5"/>
  <c r="V926" i="5"/>
  <c r="R926" i="5" s="1"/>
  <c r="X926" i="5"/>
  <c r="V927" i="5"/>
  <c r="R927" i="5" s="1"/>
  <c r="X927" i="5"/>
  <c r="V928" i="5"/>
  <c r="X928" i="5"/>
  <c r="V929" i="5"/>
  <c r="R929" i="5" s="1"/>
  <c r="X929" i="5"/>
  <c r="V930" i="5"/>
  <c r="R930" i="5" s="1"/>
  <c r="X930" i="5"/>
  <c r="V931" i="5"/>
  <c r="R931" i="5" s="1"/>
  <c r="X931" i="5"/>
  <c r="V932" i="5"/>
  <c r="R932" i="5" s="1"/>
  <c r="X932" i="5"/>
  <c r="V933" i="5"/>
  <c r="R933" i="5" s="1"/>
  <c r="X933" i="5"/>
  <c r="V934" i="5"/>
  <c r="R934" i="5" s="1"/>
  <c r="X934" i="5"/>
  <c r="V935" i="5"/>
  <c r="R935" i="5" s="1"/>
  <c r="X935" i="5"/>
  <c r="V936" i="5"/>
  <c r="R936" i="5" s="1"/>
  <c r="X936" i="5"/>
  <c r="V937" i="5"/>
  <c r="R937" i="5" s="1"/>
  <c r="X937" i="5"/>
  <c r="V938" i="5"/>
  <c r="R938" i="5" s="1"/>
  <c r="X938" i="5"/>
  <c r="V939" i="5"/>
  <c r="R939" i="5" s="1"/>
  <c r="X939" i="5"/>
  <c r="V940" i="5"/>
  <c r="R940" i="5" s="1"/>
  <c r="X940" i="5"/>
  <c r="V941" i="5"/>
  <c r="R941" i="5" s="1"/>
  <c r="X941" i="5"/>
  <c r="V942" i="5"/>
  <c r="R942" i="5" s="1"/>
  <c r="X942" i="5"/>
  <c r="V943" i="5"/>
  <c r="R943" i="5" s="1"/>
  <c r="X943" i="5"/>
  <c r="V944" i="5"/>
  <c r="R944" i="5" s="1"/>
  <c r="X944" i="5"/>
  <c r="V945" i="5"/>
  <c r="R945" i="5" s="1"/>
  <c r="X945" i="5"/>
  <c r="V946" i="5"/>
  <c r="R946" i="5" s="1"/>
  <c r="X946" i="5"/>
  <c r="V947" i="5"/>
  <c r="R947" i="5" s="1"/>
  <c r="X947" i="5"/>
  <c r="V948" i="5"/>
  <c r="R948" i="5" s="1"/>
  <c r="X948" i="5"/>
  <c r="V949" i="5"/>
  <c r="R949" i="5" s="1"/>
  <c r="X949" i="5"/>
  <c r="V950" i="5"/>
  <c r="R950" i="5" s="1"/>
  <c r="X950" i="5"/>
  <c r="V951" i="5"/>
  <c r="R951" i="5" s="1"/>
  <c r="X951" i="5"/>
  <c r="V952" i="5"/>
  <c r="R952" i="5" s="1"/>
  <c r="X952" i="5"/>
  <c r="V953" i="5"/>
  <c r="R953" i="5" s="1"/>
  <c r="X953" i="5"/>
  <c r="V954" i="5"/>
  <c r="R954" i="5" s="1"/>
  <c r="X954" i="5"/>
  <c r="V955" i="5"/>
  <c r="R955" i="5" s="1"/>
  <c r="X955" i="5"/>
  <c r="V956" i="5"/>
  <c r="R956" i="5" s="1"/>
  <c r="X956" i="5"/>
  <c r="V957" i="5"/>
  <c r="R957" i="5" s="1"/>
  <c r="X957" i="5"/>
  <c r="V958" i="5"/>
  <c r="R958" i="5" s="1"/>
  <c r="X958" i="5"/>
  <c r="V959" i="5"/>
  <c r="R959" i="5" s="1"/>
  <c r="X959" i="5"/>
  <c r="V960" i="5"/>
  <c r="R960" i="5" s="1"/>
  <c r="X960" i="5"/>
  <c r="V961" i="5"/>
  <c r="R961" i="5" s="1"/>
  <c r="X961" i="5"/>
  <c r="V962" i="5"/>
  <c r="R962" i="5" s="1"/>
  <c r="X962" i="5"/>
  <c r="V963" i="5"/>
  <c r="R963" i="5" s="1"/>
  <c r="X963" i="5"/>
  <c r="V964" i="5"/>
  <c r="X964" i="5"/>
  <c r="V965" i="5"/>
  <c r="R965" i="5" s="1"/>
  <c r="X965" i="5"/>
  <c r="V966" i="5"/>
  <c r="R966" i="5" s="1"/>
  <c r="X966" i="5"/>
  <c r="V967" i="5"/>
  <c r="R967" i="5" s="1"/>
  <c r="X967" i="5"/>
  <c r="V968" i="5"/>
  <c r="R968" i="5" s="1"/>
  <c r="X968" i="5"/>
  <c r="V969" i="5"/>
  <c r="R969" i="5" s="1"/>
  <c r="X969" i="5"/>
  <c r="V970" i="5"/>
  <c r="R970" i="5" s="1"/>
  <c r="X970" i="5"/>
  <c r="V971" i="5"/>
  <c r="R971" i="5" s="1"/>
  <c r="X971" i="5"/>
  <c r="V972" i="5"/>
  <c r="R972" i="5" s="1"/>
  <c r="X972" i="5"/>
  <c r="V973" i="5"/>
  <c r="R973" i="5" s="1"/>
  <c r="X973" i="5"/>
  <c r="V974" i="5"/>
  <c r="R974" i="5" s="1"/>
  <c r="X974" i="5"/>
  <c r="V975" i="5"/>
  <c r="R975" i="5" s="1"/>
  <c r="X975" i="5"/>
  <c r="V976" i="5"/>
  <c r="X976" i="5"/>
  <c r="V977" i="5"/>
  <c r="R977" i="5" s="1"/>
  <c r="X977" i="5"/>
  <c r="V978" i="5"/>
  <c r="R978" i="5" s="1"/>
  <c r="X978" i="5"/>
  <c r="V979" i="5"/>
  <c r="R979" i="5" s="1"/>
  <c r="X979" i="5"/>
  <c r="V980" i="5"/>
  <c r="R980" i="5" s="1"/>
  <c r="X980" i="5"/>
  <c r="V981" i="5"/>
  <c r="R981" i="5" s="1"/>
  <c r="X981" i="5"/>
  <c r="V982" i="5"/>
  <c r="R982" i="5" s="1"/>
  <c r="X982" i="5"/>
  <c r="V983" i="5"/>
  <c r="R983" i="5" s="1"/>
  <c r="X983" i="5"/>
  <c r="V984" i="5"/>
  <c r="R984" i="5" s="1"/>
  <c r="X984" i="5"/>
  <c r="V985" i="5"/>
  <c r="R985" i="5" s="1"/>
  <c r="X985" i="5"/>
  <c r="V986" i="5"/>
  <c r="R986" i="5" s="1"/>
  <c r="X986" i="5"/>
  <c r="V987" i="5"/>
  <c r="R987" i="5" s="1"/>
  <c r="X987" i="5"/>
  <c r="V988" i="5"/>
  <c r="R988" i="5" s="1"/>
  <c r="X988" i="5"/>
  <c r="V989" i="5"/>
  <c r="R989" i="5" s="1"/>
  <c r="X989" i="5"/>
  <c r="V990" i="5"/>
  <c r="R990" i="5" s="1"/>
  <c r="X990" i="5"/>
  <c r="V991" i="5"/>
  <c r="R991" i="5" s="1"/>
  <c r="X991" i="5"/>
  <c r="V992" i="5"/>
  <c r="R992" i="5" s="1"/>
  <c r="X992" i="5"/>
  <c r="V993" i="5"/>
  <c r="R993" i="5" s="1"/>
  <c r="X993" i="5"/>
  <c r="V994" i="5"/>
  <c r="R994" i="5" s="1"/>
  <c r="X994" i="5"/>
  <c r="V995" i="5"/>
  <c r="R995" i="5" s="1"/>
  <c r="X995" i="5"/>
  <c r="V996" i="5"/>
  <c r="R996" i="5" s="1"/>
  <c r="X996" i="5"/>
  <c r="V997" i="5"/>
  <c r="R997" i="5" s="1"/>
  <c r="X997" i="5"/>
  <c r="V998" i="5"/>
  <c r="R998" i="5" s="1"/>
  <c r="X998" i="5"/>
  <c r="V999" i="5"/>
  <c r="R999" i="5" s="1"/>
  <c r="X999" i="5"/>
  <c r="V1000" i="5"/>
  <c r="R1000" i="5" s="1"/>
  <c r="X1000" i="5"/>
  <c r="V1001" i="5"/>
  <c r="R1001" i="5" s="1"/>
  <c r="X1001" i="5"/>
  <c r="V1002" i="5"/>
  <c r="R1002" i="5" s="1"/>
  <c r="X1002" i="5"/>
  <c r="V1003" i="5"/>
  <c r="R1003" i="5" s="1"/>
  <c r="X1003" i="5"/>
  <c r="V1004" i="5"/>
  <c r="R1004" i="5" s="1"/>
  <c r="X1004" i="5"/>
  <c r="V1005" i="5"/>
  <c r="R1005" i="5" s="1"/>
  <c r="X1005" i="5"/>
  <c r="V1006" i="5"/>
  <c r="R1006" i="5" s="1"/>
  <c r="X1006" i="5"/>
  <c r="V1007" i="5"/>
  <c r="R1007" i="5" s="1"/>
  <c r="X1007" i="5"/>
  <c r="V1008" i="5"/>
  <c r="R1008" i="5" s="1"/>
  <c r="X1008" i="5"/>
  <c r="V1009" i="5"/>
  <c r="R1009" i="5" s="1"/>
  <c r="X1009" i="5"/>
  <c r="V1010" i="5"/>
  <c r="R1010" i="5" s="1"/>
  <c r="X1010" i="5"/>
  <c r="V1011" i="5"/>
  <c r="R1011" i="5" s="1"/>
  <c r="X1011" i="5"/>
  <c r="V1012" i="5"/>
  <c r="R1012" i="5" s="1"/>
  <c r="X1012" i="5"/>
  <c r="V1013" i="5"/>
  <c r="R1013" i="5" s="1"/>
  <c r="X1013" i="5"/>
  <c r="V1014" i="5"/>
  <c r="R1014" i="5" s="1"/>
  <c r="X1014" i="5"/>
  <c r="V1015" i="5"/>
  <c r="R1015" i="5" s="1"/>
  <c r="X1015" i="5"/>
  <c r="V1016" i="5"/>
  <c r="R1016" i="5" s="1"/>
  <c r="X1016" i="5"/>
  <c r="V1017" i="5"/>
  <c r="R1017" i="5" s="1"/>
  <c r="X1017" i="5"/>
  <c r="V1018" i="5"/>
  <c r="R1018" i="5" s="1"/>
  <c r="X1018" i="5"/>
  <c r="V1019" i="5"/>
  <c r="R1019" i="5" s="1"/>
  <c r="X1019" i="5"/>
  <c r="V1020" i="5"/>
  <c r="R1020" i="5" s="1"/>
  <c r="X1020" i="5"/>
  <c r="V1021" i="5"/>
  <c r="R1021" i="5" s="1"/>
  <c r="X1021" i="5"/>
  <c r="V1022" i="5"/>
  <c r="R1022" i="5" s="1"/>
  <c r="X1022" i="5"/>
  <c r="V1023" i="5"/>
  <c r="R1023" i="5" s="1"/>
  <c r="X1023" i="5"/>
  <c r="V1024" i="5"/>
  <c r="R1024" i="5" s="1"/>
  <c r="X1024" i="5"/>
  <c r="V1025" i="5"/>
  <c r="R1025" i="5" s="1"/>
  <c r="X1025" i="5"/>
  <c r="V1026" i="5"/>
  <c r="R1026" i="5" s="1"/>
  <c r="X1026" i="5"/>
  <c r="V1027" i="5"/>
  <c r="R1027" i="5" s="1"/>
  <c r="X1027" i="5"/>
  <c r="V1028" i="5"/>
  <c r="R1028" i="5" s="1"/>
  <c r="X1028" i="5"/>
  <c r="V1029" i="5"/>
  <c r="R1029" i="5" s="1"/>
  <c r="X1029" i="5"/>
  <c r="V1030" i="5"/>
  <c r="R1030" i="5" s="1"/>
  <c r="X1030" i="5"/>
  <c r="V1031" i="5"/>
  <c r="R1031" i="5" s="1"/>
  <c r="X1031" i="5"/>
  <c r="V1032" i="5"/>
  <c r="R1032" i="5" s="1"/>
  <c r="X1032" i="5"/>
  <c r="V1033" i="5"/>
  <c r="R1033" i="5" s="1"/>
  <c r="X1033" i="5"/>
  <c r="V1034" i="5"/>
  <c r="R1034" i="5" s="1"/>
  <c r="X1034" i="5"/>
  <c r="V1035" i="5"/>
  <c r="R1035" i="5" s="1"/>
  <c r="X1035" i="5"/>
  <c r="V1036" i="5"/>
  <c r="R1036" i="5" s="1"/>
  <c r="X1036" i="5"/>
  <c r="V1037" i="5"/>
  <c r="R1037" i="5" s="1"/>
  <c r="X1037" i="5"/>
  <c r="V1038" i="5"/>
  <c r="R1038" i="5" s="1"/>
  <c r="X1038" i="5"/>
  <c r="V1039" i="5"/>
  <c r="R1039" i="5" s="1"/>
  <c r="X1039" i="5"/>
  <c r="V1040" i="5"/>
  <c r="R1040" i="5" s="1"/>
  <c r="X1040" i="5"/>
  <c r="V1041" i="5"/>
  <c r="R1041" i="5" s="1"/>
  <c r="X1041" i="5"/>
  <c r="V1042" i="5"/>
  <c r="R1042" i="5" s="1"/>
  <c r="X1042" i="5"/>
  <c r="V1043" i="5"/>
  <c r="R1043" i="5" s="1"/>
  <c r="X1043" i="5"/>
  <c r="V1044" i="5"/>
  <c r="X1044" i="5"/>
  <c r="V1045" i="5"/>
  <c r="R1045" i="5" s="1"/>
  <c r="X1045" i="5"/>
  <c r="V1046" i="5"/>
  <c r="R1046" i="5" s="1"/>
  <c r="X1046" i="5"/>
  <c r="V1047" i="5"/>
  <c r="R1047" i="5" s="1"/>
  <c r="X1047" i="5"/>
  <c r="V1048" i="5"/>
  <c r="R1048" i="5" s="1"/>
  <c r="X1048" i="5"/>
  <c r="V1049" i="5"/>
  <c r="R1049" i="5" s="1"/>
  <c r="X1049" i="5"/>
  <c r="V1050" i="5"/>
  <c r="R1050" i="5" s="1"/>
  <c r="X1050" i="5"/>
  <c r="V1051" i="5"/>
  <c r="R1051" i="5" s="1"/>
  <c r="X1051" i="5"/>
  <c r="V1052" i="5"/>
  <c r="R1052" i="5" s="1"/>
  <c r="X1052" i="5"/>
  <c r="V1053" i="5"/>
  <c r="R1053" i="5" s="1"/>
  <c r="X1053" i="5"/>
  <c r="V1054" i="5"/>
  <c r="R1054" i="5" s="1"/>
  <c r="X1054" i="5"/>
  <c r="V1055" i="5"/>
  <c r="R1055" i="5" s="1"/>
  <c r="X1055" i="5"/>
  <c r="V1056" i="5"/>
  <c r="R1056" i="5" s="1"/>
  <c r="X1056" i="5"/>
  <c r="V1057" i="5"/>
  <c r="R1057" i="5" s="1"/>
  <c r="X1057" i="5"/>
  <c r="V1058" i="5"/>
  <c r="R1058" i="5" s="1"/>
  <c r="X1058" i="5"/>
  <c r="V1059" i="5"/>
  <c r="R1059" i="5" s="1"/>
  <c r="X1059" i="5"/>
  <c r="V1060" i="5"/>
  <c r="R1060" i="5" s="1"/>
  <c r="X1060" i="5"/>
  <c r="V1061" i="5"/>
  <c r="R1061" i="5" s="1"/>
  <c r="X1061" i="5"/>
  <c r="V1062" i="5"/>
  <c r="R1062" i="5" s="1"/>
  <c r="X1062" i="5"/>
  <c r="V1063" i="5"/>
  <c r="R1063" i="5" s="1"/>
  <c r="X1063" i="5"/>
  <c r="V1064" i="5"/>
  <c r="R1064" i="5" s="1"/>
  <c r="X1064" i="5"/>
  <c r="V1065" i="5"/>
  <c r="R1065" i="5" s="1"/>
  <c r="X1065" i="5"/>
  <c r="V1066" i="5"/>
  <c r="R1066" i="5" s="1"/>
  <c r="X1066" i="5"/>
  <c r="V1067" i="5"/>
  <c r="R1067" i="5" s="1"/>
  <c r="X1067" i="5"/>
  <c r="V1068" i="5"/>
  <c r="R1068" i="5" s="1"/>
  <c r="X1068" i="5"/>
  <c r="V1069" i="5"/>
  <c r="R1069" i="5" s="1"/>
  <c r="X1069" i="5"/>
  <c r="V1070" i="5"/>
  <c r="R1070" i="5" s="1"/>
  <c r="X1070" i="5"/>
  <c r="V1071" i="5"/>
  <c r="R1071" i="5" s="1"/>
  <c r="X1071" i="5"/>
  <c r="V1072" i="5"/>
  <c r="X1072" i="5"/>
  <c r="V1073" i="5"/>
  <c r="R1073" i="5" s="1"/>
  <c r="X1073" i="5"/>
  <c r="V1074" i="5"/>
  <c r="X1074" i="5"/>
  <c r="V1075" i="5"/>
  <c r="R1075" i="5" s="1"/>
  <c r="X1075" i="5"/>
  <c r="V1076" i="5"/>
  <c r="R1076" i="5" s="1"/>
  <c r="X1076" i="5"/>
  <c r="V1077" i="5"/>
  <c r="R1077" i="5" s="1"/>
  <c r="X1077" i="5"/>
  <c r="V1078" i="5"/>
  <c r="R1078" i="5" s="1"/>
  <c r="X1078" i="5"/>
  <c r="V1079" i="5"/>
  <c r="R1079" i="5" s="1"/>
  <c r="X1079" i="5"/>
  <c r="V1080" i="5"/>
  <c r="R1080" i="5" s="1"/>
  <c r="X1080" i="5"/>
  <c r="V1081" i="5"/>
  <c r="R1081" i="5" s="1"/>
  <c r="X1081" i="5"/>
  <c r="V1082" i="5"/>
  <c r="R1082" i="5" s="1"/>
  <c r="X1082" i="5"/>
  <c r="V1083" i="5"/>
  <c r="R1083" i="5" s="1"/>
  <c r="X1083" i="5"/>
  <c r="V1084" i="5"/>
  <c r="R1084" i="5" s="1"/>
  <c r="X1084" i="5"/>
  <c r="V1085" i="5"/>
  <c r="R1085" i="5" s="1"/>
  <c r="X1085" i="5"/>
  <c r="V1086" i="5"/>
  <c r="X1086" i="5"/>
  <c r="V1087" i="5"/>
  <c r="R1087" i="5" s="1"/>
  <c r="X1087" i="5"/>
  <c r="V1088" i="5"/>
  <c r="R1088" i="5" s="1"/>
  <c r="X1088" i="5"/>
  <c r="V1089" i="5"/>
  <c r="R1089" i="5" s="1"/>
  <c r="X1089" i="5"/>
  <c r="V1090" i="5"/>
  <c r="R1090" i="5" s="1"/>
  <c r="X1090" i="5"/>
  <c r="V1091" i="5"/>
  <c r="R1091" i="5" s="1"/>
  <c r="X1091" i="5"/>
  <c r="V1092" i="5"/>
  <c r="R1092" i="5" s="1"/>
  <c r="X1092" i="5"/>
  <c r="V1093" i="5"/>
  <c r="R1093" i="5" s="1"/>
  <c r="X1093" i="5"/>
  <c r="V1094" i="5"/>
  <c r="R1094" i="5" s="1"/>
  <c r="X1094" i="5"/>
  <c r="V1095" i="5"/>
  <c r="R1095" i="5" s="1"/>
  <c r="X1095" i="5"/>
  <c r="V1096" i="5"/>
  <c r="R1096" i="5" s="1"/>
  <c r="X1096" i="5"/>
  <c r="V1097" i="5"/>
  <c r="X1097" i="5"/>
  <c r="V1098" i="5"/>
  <c r="R1098" i="5" s="1"/>
  <c r="X1098" i="5"/>
  <c r="V1099" i="5"/>
  <c r="R1099" i="5" s="1"/>
  <c r="X1099" i="5"/>
  <c r="V1100" i="5"/>
  <c r="R1100" i="5" s="1"/>
  <c r="X1100" i="5"/>
  <c r="V1101" i="5"/>
  <c r="R1101" i="5" s="1"/>
  <c r="X1101" i="5"/>
  <c r="V1102" i="5"/>
  <c r="R1102" i="5" s="1"/>
  <c r="X1102" i="5"/>
  <c r="V1103" i="5"/>
  <c r="R1103" i="5" s="1"/>
  <c r="X1103" i="5"/>
  <c r="V1104" i="5"/>
  <c r="R1104" i="5" s="1"/>
  <c r="X1104" i="5"/>
  <c r="V1105" i="5"/>
  <c r="R1105" i="5" s="1"/>
  <c r="X1105" i="5"/>
  <c r="V1106" i="5"/>
  <c r="R1106" i="5" s="1"/>
  <c r="X1106" i="5"/>
  <c r="V1107" i="5"/>
  <c r="R1107" i="5" s="1"/>
  <c r="X1107" i="5"/>
  <c r="V1108" i="5"/>
  <c r="R1108" i="5" s="1"/>
  <c r="X1108" i="5"/>
  <c r="V1109" i="5"/>
  <c r="R1109" i="5" s="1"/>
  <c r="X1109" i="5"/>
  <c r="V1110" i="5"/>
  <c r="R1110" i="5" s="1"/>
  <c r="X1110" i="5"/>
  <c r="V1111" i="5"/>
  <c r="R1111" i="5" s="1"/>
  <c r="X1111" i="5"/>
  <c r="V1112" i="5"/>
  <c r="R1112" i="5" s="1"/>
  <c r="X1112" i="5"/>
  <c r="V1113" i="5"/>
  <c r="R1113" i="5" s="1"/>
  <c r="X1113" i="5"/>
  <c r="V1114" i="5"/>
  <c r="R1114" i="5" s="1"/>
  <c r="X1114" i="5"/>
  <c r="V1115" i="5"/>
  <c r="R1115" i="5" s="1"/>
  <c r="X1115" i="5"/>
  <c r="V1116" i="5"/>
  <c r="R1116" i="5" s="1"/>
  <c r="X1116" i="5"/>
  <c r="V1117" i="5"/>
  <c r="R1117" i="5" s="1"/>
  <c r="X1117" i="5"/>
  <c r="V1118" i="5"/>
  <c r="R1118" i="5" s="1"/>
  <c r="X1118" i="5"/>
  <c r="V1119" i="5"/>
  <c r="R1119" i="5" s="1"/>
  <c r="X1119" i="5"/>
  <c r="V1120" i="5"/>
  <c r="R1120" i="5" s="1"/>
  <c r="X1120" i="5"/>
  <c r="V1121" i="5"/>
  <c r="R1121" i="5" s="1"/>
  <c r="X1121" i="5"/>
  <c r="V1122" i="5"/>
  <c r="R1122" i="5" s="1"/>
  <c r="X1122" i="5"/>
  <c r="V1123" i="5"/>
  <c r="R1123" i="5" s="1"/>
  <c r="X1123" i="5"/>
  <c r="V1124" i="5"/>
  <c r="R1124" i="5" s="1"/>
  <c r="X1124" i="5"/>
  <c r="V1125" i="5"/>
  <c r="R1125" i="5" s="1"/>
  <c r="X1125" i="5"/>
  <c r="V1126" i="5"/>
  <c r="R1126" i="5" s="1"/>
  <c r="X1126" i="5"/>
  <c r="V1127" i="5"/>
  <c r="R1127" i="5" s="1"/>
  <c r="X1127" i="5"/>
  <c r="V1128" i="5"/>
  <c r="X1128" i="5"/>
  <c r="V1129" i="5"/>
  <c r="R1129" i="5" s="1"/>
  <c r="X1129" i="5"/>
  <c r="V1130" i="5"/>
  <c r="R1130" i="5" s="1"/>
  <c r="X1130" i="5"/>
  <c r="V1131" i="5"/>
  <c r="R1131" i="5" s="1"/>
  <c r="X1131" i="5"/>
  <c r="V1132" i="5"/>
  <c r="R1132" i="5" s="1"/>
  <c r="X1132" i="5"/>
  <c r="V1133" i="5"/>
  <c r="R1133" i="5" s="1"/>
  <c r="X1133" i="5"/>
  <c r="V1134" i="5"/>
  <c r="R1134" i="5" s="1"/>
  <c r="X1134" i="5"/>
  <c r="V1135" i="5"/>
  <c r="R1135" i="5" s="1"/>
  <c r="X1135" i="5"/>
  <c r="V1136" i="5"/>
  <c r="R1136" i="5" s="1"/>
  <c r="X1136" i="5"/>
  <c r="V1137" i="5"/>
  <c r="R1137" i="5" s="1"/>
  <c r="X1137" i="5"/>
  <c r="V1138" i="5"/>
  <c r="R1138" i="5" s="1"/>
  <c r="X1138" i="5"/>
  <c r="V1139" i="5"/>
  <c r="R1139" i="5" s="1"/>
  <c r="X1139" i="5"/>
  <c r="V1140" i="5"/>
  <c r="R1140" i="5" s="1"/>
  <c r="X1140" i="5"/>
  <c r="V1141" i="5"/>
  <c r="R1141" i="5" s="1"/>
  <c r="X1141" i="5"/>
  <c r="V1142" i="5"/>
  <c r="R1142" i="5" s="1"/>
  <c r="X1142" i="5"/>
  <c r="V1143" i="5"/>
  <c r="R1143" i="5" s="1"/>
  <c r="X1143" i="5"/>
  <c r="V1144" i="5"/>
  <c r="X1144" i="5"/>
  <c r="V1145" i="5"/>
  <c r="R1145" i="5" s="1"/>
  <c r="X1145" i="5"/>
  <c r="V1146" i="5"/>
  <c r="R1146" i="5" s="1"/>
  <c r="X1146" i="5"/>
  <c r="V1147" i="5"/>
  <c r="R1147" i="5" s="1"/>
  <c r="X1147" i="5"/>
  <c r="V1148" i="5"/>
  <c r="R1148" i="5" s="1"/>
  <c r="X1148" i="5"/>
  <c r="V1149" i="5"/>
  <c r="R1149" i="5" s="1"/>
  <c r="X1149" i="5"/>
  <c r="V1150" i="5"/>
  <c r="R1150" i="5" s="1"/>
  <c r="X1150" i="5"/>
  <c r="V1151" i="5"/>
  <c r="R1151" i="5" s="1"/>
  <c r="X1151" i="5"/>
  <c r="V1152" i="5"/>
  <c r="R1152" i="5" s="1"/>
  <c r="X1152" i="5"/>
  <c r="V1153" i="5"/>
  <c r="R1153" i="5" s="1"/>
  <c r="X1153" i="5"/>
  <c r="V1154" i="5"/>
  <c r="R1154" i="5" s="1"/>
  <c r="X1154" i="5"/>
  <c r="V1155" i="5"/>
  <c r="R1155" i="5" s="1"/>
  <c r="X1155" i="5"/>
  <c r="V1156" i="5"/>
  <c r="R1156" i="5" s="1"/>
  <c r="X1156" i="5"/>
  <c r="V1157" i="5"/>
  <c r="R1157" i="5" s="1"/>
  <c r="X1157" i="5"/>
  <c r="V1158" i="5"/>
  <c r="R1158" i="5" s="1"/>
  <c r="X1158" i="5"/>
  <c r="V1159" i="5"/>
  <c r="X1159" i="5"/>
  <c r="V1160" i="5"/>
  <c r="V1166" i="5"/>
  <c r="V1167" i="5"/>
  <c r="E1167" i="5"/>
  <c r="X1167" i="5" s="1"/>
  <c r="V1170" i="5"/>
  <c r="E1172" i="5"/>
  <c r="X1172" i="5" s="1"/>
  <c r="V1178" i="5"/>
  <c r="V1179" i="5"/>
  <c r="R1179" i="5" s="1"/>
  <c r="V1182" i="5"/>
  <c r="V1183" i="5"/>
  <c r="R1183" i="5" s="1"/>
  <c r="V1184" i="5"/>
  <c r="V1190" i="5"/>
  <c r="V1191" i="5"/>
  <c r="V1196" i="5"/>
  <c r="V1202" i="5"/>
  <c r="E1202" i="5"/>
  <c r="X1202" i="5" s="1"/>
  <c r="V1203" i="5"/>
  <c r="V1206" i="5"/>
  <c r="E1206" i="5" s="1"/>
  <c r="X1206" i="5" s="1"/>
  <c r="V1212" i="5"/>
  <c r="H1212" i="5" s="1"/>
  <c r="V1214" i="5"/>
  <c r="V1215" i="5"/>
  <c r="V1219" i="5"/>
  <c r="V1220" i="5"/>
  <c r="V1226" i="5"/>
  <c r="V1227" i="5"/>
  <c r="V1232" i="5"/>
  <c r="V1238" i="5"/>
  <c r="E1238" i="5" s="1"/>
  <c r="X1238" i="5" s="1"/>
  <c r="V1239" i="5"/>
  <c r="V1242" i="5"/>
  <c r="V1251" i="5"/>
  <c r="E1251" i="5" s="1"/>
  <c r="X1251" i="5" s="1"/>
  <c r="V1254" i="5"/>
  <c r="V1262" i="5"/>
  <c r="F1262" i="5" s="1"/>
  <c r="V1263" i="5"/>
  <c r="V1266" i="5"/>
  <c r="V1268" i="5"/>
  <c r="V1274" i="5"/>
  <c r="G1274" i="5" s="1"/>
  <c r="E1274" i="5"/>
  <c r="X1274" i="5" s="1"/>
  <c r="V1275" i="5"/>
  <c r="V1279" i="5"/>
  <c r="I1279" i="5" s="1"/>
  <c r="E1280" i="5"/>
  <c r="X1280" i="5" s="1"/>
  <c r="V1286" i="5"/>
  <c r="V1287" i="5"/>
  <c r="V1290" i="5"/>
  <c r="V1298" i="5"/>
  <c r="H1298" i="5" s="1"/>
  <c r="V1299" i="5"/>
  <c r="V1302" i="5"/>
  <c r="F1302" i="5" s="1"/>
  <c r="V1310" i="5"/>
  <c r="E1310" i="5" s="1"/>
  <c r="X1310" i="5" s="1"/>
  <c r="V1311" i="5"/>
  <c r="E1311" i="5" s="1"/>
  <c r="X1311" i="5" s="1"/>
  <c r="V1314" i="5"/>
  <c r="I1314" i="5" s="1"/>
  <c r="V1318" i="5"/>
  <c r="V1323" i="5"/>
  <c r="E1323" i="5" s="1"/>
  <c r="X1323" i="5" s="1"/>
  <c r="V1326" i="5"/>
  <c r="J1326" i="5" s="1"/>
  <c r="V1328" i="5"/>
  <c r="F1328" i="5" s="1"/>
  <c r="V1332" i="5"/>
  <c r="I1332" i="5" s="1"/>
  <c r="V1335" i="5"/>
  <c r="V1338" i="5"/>
  <c r="J1338" i="5" s="1"/>
  <c r="V1340" i="5"/>
  <c r="V1346" i="5"/>
  <c r="V1347" i="5"/>
  <c r="G1347" i="5" s="1"/>
  <c r="E1347" i="5"/>
  <c r="X1347" i="5" s="1"/>
  <c r="V1349" i="5"/>
  <c r="R1349" i="5" s="1"/>
  <c r="V1350" i="5"/>
  <c r="V1357" i="5"/>
  <c r="V1358" i="5"/>
  <c r="V1359" i="5"/>
  <c r="V1362" i="5"/>
  <c r="V1363" i="5"/>
  <c r="V1364" i="5"/>
  <c r="V1370" i="5"/>
  <c r="V1371" i="5"/>
  <c r="E1371" i="5" s="1"/>
  <c r="X1371" i="5" s="1"/>
  <c r="V1374" i="5"/>
  <c r="V1376" i="5"/>
  <c r="E1376" i="5" s="1"/>
  <c r="X1376" i="5" s="1"/>
  <c r="V1382" i="5"/>
  <c r="V1383" i="5"/>
  <c r="J1383" i="5" s="1"/>
  <c r="V1386" i="5"/>
  <c r="V1395" i="5"/>
  <c r="V1398" i="5"/>
  <c r="V1400" i="5"/>
  <c r="V1407" i="5"/>
  <c r="E1407" i="5" s="1"/>
  <c r="X1407" i="5" s="1"/>
  <c r="E1411" i="5"/>
  <c r="X1411" i="5" s="1"/>
  <c r="V1418" i="5"/>
  <c r="E1418" i="5" s="1"/>
  <c r="X1418" i="5" s="1"/>
  <c r="V1419" i="5"/>
  <c r="V1422" i="5"/>
  <c r="I1422" i="5" s="1"/>
  <c r="E1424" i="5"/>
  <c r="X1424" i="5" s="1"/>
  <c r="V1431" i="5"/>
  <c r="E1431" i="5"/>
  <c r="X1431" i="5" s="1"/>
  <c r="V1438" i="5"/>
  <c r="H1438" i="5" s="1"/>
  <c r="V1442" i="5"/>
  <c r="V1443" i="5"/>
  <c r="E1443" i="5" s="1"/>
  <c r="X1443" i="5" s="1"/>
  <c r="V1446" i="5"/>
  <c r="E1446" i="5" s="1"/>
  <c r="X1446" i="5" s="1"/>
  <c r="V1447" i="5"/>
  <c r="J1447" i="5" s="1"/>
  <c r="V1448" i="5"/>
  <c r="I1448" i="5" s="1"/>
  <c r="V1454" i="5"/>
  <c r="V1455" i="5"/>
  <c r="H1455" i="5" s="1"/>
  <c r="V1458" i="5"/>
  <c r="V1459" i="5"/>
  <c r="V1466" i="5"/>
  <c r="F1466" i="5" s="1"/>
  <c r="V1467" i="5"/>
  <c r="E1467" i="5" s="1"/>
  <c r="X1467" i="5" s="1"/>
  <c r="V1469" i="5"/>
  <c r="R1469" i="5" s="1"/>
  <c r="V1472" i="5"/>
  <c r="V1478" i="5"/>
  <c r="E1478" i="5" s="1"/>
  <c r="X1478" i="5" s="1"/>
  <c r="V1479" i="5"/>
  <c r="I1479" i="5" s="1"/>
  <c r="V1482" i="5"/>
  <c r="V1491" i="5"/>
  <c r="R1491" i="5" s="1"/>
  <c r="V1494" i="5"/>
  <c r="V1495" i="5"/>
  <c r="V1496" i="5"/>
  <c r="E1496" i="5" s="1"/>
  <c r="X1496" i="5" s="1"/>
  <c r="V1502" i="5"/>
  <c r="J1502" i="5" s="1"/>
  <c r="V1503" i="5"/>
  <c r="V1506" i="5"/>
  <c r="V1514" i="5"/>
  <c r="V1515" i="5"/>
  <c r="E1519" i="5"/>
  <c r="X1519" i="5" s="1"/>
  <c r="V1520" i="5"/>
  <c r="G1520" i="5" s="1"/>
  <c r="V1525" i="5"/>
  <c r="E1526" i="5"/>
  <c r="X1526" i="5" s="1"/>
  <c r="V1527" i="5"/>
  <c r="V1532" i="5"/>
  <c r="E1532" i="5" s="1"/>
  <c r="X1532" i="5" s="1"/>
  <c r="V1538" i="5"/>
  <c r="V1539" i="5"/>
  <c r="V1540" i="5"/>
  <c r="I1540" i="5" s="1"/>
  <c r="V1542" i="5"/>
  <c r="I1542" i="5" s="1"/>
  <c r="E1550" i="5"/>
  <c r="X1550" i="5" s="1"/>
  <c r="V1551" i="5"/>
  <c r="V1554" i="5"/>
  <c r="V1555" i="5"/>
  <c r="I1555" i="5" s="1"/>
  <c r="E1556" i="5"/>
  <c r="X1556" i="5" s="1"/>
  <c r="V1560" i="5"/>
  <c r="E1560" i="5" s="1"/>
  <c r="X1560" i="5" s="1"/>
  <c r="V1562" i="5"/>
  <c r="V1563" i="5"/>
  <c r="V1566" i="5"/>
  <c r="I1566" i="5" s="1"/>
  <c r="V1567" i="5"/>
  <c r="V1568" i="5"/>
  <c r="V1571" i="5"/>
  <c r="V1574" i="5"/>
  <c r="I1574" i="5" s="1"/>
  <c r="V1575" i="5"/>
  <c r="G1575" i="5" s="1"/>
  <c r="V1578" i="5"/>
  <c r="V1586" i="5"/>
  <c r="V1587" i="5"/>
  <c r="E1587" i="5" s="1"/>
  <c r="X1587" i="5" s="1"/>
  <c r="V1590" i="5"/>
  <c r="V1598" i="5"/>
  <c r="V1599" i="5"/>
  <c r="R1599" i="5" s="1"/>
  <c r="V1602" i="5"/>
  <c r="V1610" i="5"/>
  <c r="V1611" i="5"/>
  <c r="V1613" i="5"/>
  <c r="E1614" i="5"/>
  <c r="X1614" i="5" s="1"/>
  <c r="V1616" i="5"/>
  <c r="G1616" i="5" s="1"/>
  <c r="V1623" i="5"/>
  <c r="E1626" i="5"/>
  <c r="X1626" i="5" s="1"/>
  <c r="V1634" i="5"/>
  <c r="V1635" i="5"/>
  <c r="V1638" i="5"/>
  <c r="V1642" i="5"/>
  <c r="F1642" i="5" s="1"/>
  <c r="V1646" i="5"/>
  <c r="V1647" i="5"/>
  <c r="E1647" i="5" s="1"/>
  <c r="X1647" i="5" s="1"/>
  <c r="V1650" i="5"/>
  <c r="F1650" i="5" s="1"/>
  <c r="V1652" i="5"/>
  <c r="J1652" i="5" s="1"/>
  <c r="V1658" i="5"/>
  <c r="V1659" i="5"/>
  <c r="V1662" i="5"/>
  <c r="H1662" i="5" s="1"/>
  <c r="V1670" i="5"/>
  <c r="H1670" i="5" s="1"/>
  <c r="V1671" i="5"/>
  <c r="H1671" i="5" s="1"/>
  <c r="V1682" i="5"/>
  <c r="V1683" i="5"/>
  <c r="R1683" i="5" s="1"/>
  <c r="V1686" i="5"/>
  <c r="G1686" i="5" s="1"/>
  <c r="V1694" i="5"/>
  <c r="V1695" i="5"/>
  <c r="V1697" i="5"/>
  <c r="V1698" i="5"/>
  <c r="E1698" i="5" s="1"/>
  <c r="X1698" i="5" s="1"/>
  <c r="V1699" i="5"/>
  <c r="E1699" i="5" s="1"/>
  <c r="X1699" i="5" s="1"/>
  <c r="V1700" i="5"/>
  <c r="H1700" i="5" s="1"/>
  <c r="V1707" i="5"/>
  <c r="G1707" i="5" s="1"/>
  <c r="V1710" i="5"/>
  <c r="V1717" i="5"/>
  <c r="I1717" i="5" s="1"/>
  <c r="V1718" i="5"/>
  <c r="E1718" i="5" s="1"/>
  <c r="X1718" i="5" s="1"/>
  <c r="V1719" i="5"/>
  <c r="E1719" i="5" s="1"/>
  <c r="X1719" i="5" s="1"/>
  <c r="V1722" i="5"/>
  <c r="G1722" i="5" s="1"/>
  <c r="V1724" i="5"/>
  <c r="V1727" i="5"/>
  <c r="E1727" i="5" s="1"/>
  <c r="X1727" i="5" s="1"/>
  <c r="V1730" i="5"/>
  <c r="V1731" i="5"/>
  <c r="G1731" i="5" s="1"/>
  <c r="E1731" i="5"/>
  <c r="X1731" i="5" s="1"/>
  <c r="V1734" i="5"/>
  <c r="V1736" i="5"/>
  <c r="V1739" i="5"/>
  <c r="V1743" i="5"/>
  <c r="G1743" i="5" s="1"/>
  <c r="V1746" i="5"/>
  <c r="V1747" i="5"/>
  <c r="H1747" i="5" s="1"/>
  <c r="V1754" i="5"/>
  <c r="V1755" i="5"/>
  <c r="V1760" i="5"/>
  <c r="J1760" i="5" s="1"/>
  <c r="V1766" i="5"/>
  <c r="E1766" i="5"/>
  <c r="X1766" i="5" s="1"/>
  <c r="V1767" i="5"/>
  <c r="G1767" i="5" s="1"/>
  <c r="V1770" i="5"/>
  <c r="G1770" i="5" s="1"/>
  <c r="E1778" i="5"/>
  <c r="X1778" i="5" s="1"/>
  <c r="V1779" i="5"/>
  <c r="J1779" i="5" s="1"/>
  <c r="V1782" i="5"/>
  <c r="E1782" i="5"/>
  <c r="X1782" i="5" s="1"/>
  <c r="V1783" i="5"/>
  <c r="V1784" i="5"/>
  <c r="E1784" i="5" s="1"/>
  <c r="X1784" i="5" s="1"/>
  <c r="V1790" i="5"/>
  <c r="G1790" i="5" s="1"/>
  <c r="V1791" i="5"/>
  <c r="V1794" i="5"/>
  <c r="V1802" i="5"/>
  <c r="V1803" i="5"/>
  <c r="I1803" i="5" s="1"/>
  <c r="V1804" i="5"/>
  <c r="R1804" i="5" s="1"/>
  <c r="V1808" i="5"/>
  <c r="E1814" i="5"/>
  <c r="X1814" i="5" s="1"/>
  <c r="V1815" i="5"/>
  <c r="I1815" i="5" s="1"/>
  <c r="V1818" i="5"/>
  <c r="V1820" i="5"/>
  <c r="V1825" i="5"/>
  <c r="V1826" i="5"/>
  <c r="R1826" i="5" s="1"/>
  <c r="V1827" i="5"/>
  <c r="V1830" i="5"/>
  <c r="V1838" i="5"/>
  <c r="I1838" i="5" s="1"/>
  <c r="V1839" i="5"/>
  <c r="V1841" i="5"/>
  <c r="F1841" i="5" s="1"/>
  <c r="V1842" i="5"/>
  <c r="V1843" i="5"/>
  <c r="I1843" i="5" s="1"/>
  <c r="E1850" i="5"/>
  <c r="X1850" i="5" s="1"/>
  <c r="V1851" i="5"/>
  <c r="V1854" i="5"/>
  <c r="V1862" i="5"/>
  <c r="E1862" i="5" s="1"/>
  <c r="X1862" i="5" s="1"/>
  <c r="V1863" i="5"/>
  <c r="V1866" i="5"/>
  <c r="V1867" i="5"/>
  <c r="H1867" i="5" s="1"/>
  <c r="V1868" i="5"/>
  <c r="V1874" i="5"/>
  <c r="J1874" i="5" s="1"/>
  <c r="V1875" i="5"/>
  <c r="V1878" i="5"/>
  <c r="V1879" i="5"/>
  <c r="V1880" i="5"/>
  <c r="V1886" i="5"/>
  <c r="V1887" i="5"/>
  <c r="I1887" i="5" s="1"/>
  <c r="V1890" i="5"/>
  <c r="V1892" i="5"/>
  <c r="V1899" i="5"/>
  <c r="V1902" i="5"/>
  <c r="V1911" i="5"/>
  <c r="V1913" i="5"/>
  <c r="V1914" i="5"/>
  <c r="G1914" i="5" s="1"/>
  <c r="V1922" i="5"/>
  <c r="V1923" i="5"/>
  <c r="R1923" i="5" s="1"/>
  <c r="V1926" i="5"/>
  <c r="V1927" i="5"/>
  <c r="H1927" i="5" s="1"/>
  <c r="V1928" i="5"/>
  <c r="E1934" i="5"/>
  <c r="X1934" i="5" s="1"/>
  <c r="V1935" i="5"/>
  <c r="H1935" i="5" s="1"/>
  <c r="V1938" i="5"/>
  <c r="V1943" i="5"/>
  <c r="V1946" i="5"/>
  <c r="E1946" i="5" s="1"/>
  <c r="X1946" i="5" s="1"/>
  <c r="V1947" i="5"/>
  <c r="V1950" i="5"/>
  <c r="J1950" i="5" s="1"/>
  <c r="V1958" i="5"/>
  <c r="G1958" i="5" s="1"/>
  <c r="V1959" i="5"/>
  <c r="V1962" i="5"/>
  <c r="V1964" i="5"/>
  <c r="E1964" i="5" s="1"/>
  <c r="X1964" i="5" s="1"/>
  <c r="V1970" i="5"/>
  <c r="J1970" i="5" s="1"/>
  <c r="V1971" i="5"/>
  <c r="H1971" i="5" s="1"/>
  <c r="E1971" i="5"/>
  <c r="X1971" i="5" s="1"/>
  <c r="E1974" i="5"/>
  <c r="X1974" i="5" s="1"/>
  <c r="V1975" i="5"/>
  <c r="J1975" i="5" s="1"/>
  <c r="V1976" i="5"/>
  <c r="V1982" i="5"/>
  <c r="V1983" i="5"/>
  <c r="H1983" i="5" s="1"/>
  <c r="V1986" i="5"/>
  <c r="H1986" i="5" s="1"/>
  <c r="V1988" i="5"/>
  <c r="V1992" i="5"/>
  <c r="V1994" i="5"/>
  <c r="V1995" i="5"/>
  <c r="R1995" i="5" s="1"/>
  <c r="V1998" i="5"/>
  <c r="G1998" i="5" s="1"/>
  <c r="V1999" i="5"/>
  <c r="V2000" i="5"/>
  <c r="V2007" i="5"/>
  <c r="V2009" i="5"/>
  <c r="I2009" i="5" s="1"/>
  <c r="V2010" i="5"/>
  <c r="V2012" i="5"/>
  <c r="R2012" i="5" s="1"/>
  <c r="V2018" i="5"/>
  <c r="V2019" i="5"/>
  <c r="R2019" i="5" s="1"/>
  <c r="V2022" i="5"/>
  <c r="V2030" i="5"/>
  <c r="V2031" i="5"/>
  <c r="V2033" i="5"/>
  <c r="V2034" i="5"/>
  <c r="E2034" i="5" s="1"/>
  <c r="X2034" i="5" s="1"/>
  <c r="V2042" i="5"/>
  <c r="E2042" i="5" s="1"/>
  <c r="X2042" i="5" s="1"/>
  <c r="V2043" i="5"/>
  <c r="E2048" i="5"/>
  <c r="X2048" i="5" s="1"/>
  <c r="V2050" i="5"/>
  <c r="V2052" i="5"/>
  <c r="E2052" i="5" s="1"/>
  <c r="X2052" i="5" s="1"/>
  <c r="V2054" i="5"/>
  <c r="F2054" i="5" s="1"/>
  <c r="V2055" i="5"/>
  <c r="V2058" i="5"/>
  <c r="V2060" i="5"/>
  <c r="V2066" i="5"/>
  <c r="V2067" i="5"/>
  <c r="E2067" i="5"/>
  <c r="X2067" i="5" s="1"/>
  <c r="V2070" i="5"/>
  <c r="V2079" i="5"/>
  <c r="J2079" i="5" s="1"/>
  <c r="V2082" i="5"/>
  <c r="R2082" i="5" s="1"/>
  <c r="V2083" i="5"/>
  <c r="H2083" i="5" s="1"/>
  <c r="V2084" i="5"/>
  <c r="V2091" i="5"/>
  <c r="G2091" i="5" s="1"/>
  <c r="E2093" i="5"/>
  <c r="X2093" i="5" s="1"/>
  <c r="V2094" i="5"/>
  <c r="V2102" i="5"/>
  <c r="R2102" i="5" s="1"/>
  <c r="V2103" i="5"/>
  <c r="V2115" i="5"/>
  <c r="V2118" i="5"/>
  <c r="F2118" i="5" s="1"/>
  <c r="V2119" i="5"/>
  <c r="E2119" i="5" s="1"/>
  <c r="X2119" i="5" s="1"/>
  <c r="V2120" i="5"/>
  <c r="F2120" i="5" s="1"/>
  <c r="E2124" i="5"/>
  <c r="X2124" i="5" s="1"/>
  <c r="V2126" i="5"/>
  <c r="V2127" i="5"/>
  <c r="G2127" i="5" s="1"/>
  <c r="V2130" i="5"/>
  <c r="J2130" i="5" s="1"/>
  <c r="E2131" i="5"/>
  <c r="X2131" i="5" s="1"/>
  <c r="E2132" i="5"/>
  <c r="X2132" i="5" s="1"/>
  <c r="E2134" i="5"/>
  <c r="X2134" i="5" s="1"/>
  <c r="V2138" i="5"/>
  <c r="H2138" i="5" s="1"/>
  <c r="V2139" i="5"/>
  <c r="V2142" i="5"/>
  <c r="V2143" i="5"/>
  <c r="E2143" i="5" s="1"/>
  <c r="X2143" i="5" s="1"/>
  <c r="E2144" i="5"/>
  <c r="X2144" i="5" s="1"/>
  <c r="V2150" i="5"/>
  <c r="V2151" i="5"/>
  <c r="V2154" i="5"/>
  <c r="E2154" i="5" s="1"/>
  <c r="X2154" i="5" s="1"/>
  <c r="V2155" i="5"/>
  <c r="V2156" i="5"/>
  <c r="E2156" i="5"/>
  <c r="X2156" i="5" s="1"/>
  <c r="V2162" i="5"/>
  <c r="V2163" i="5"/>
  <c r="V2166" i="5"/>
  <c r="E2166" i="5"/>
  <c r="X2166" i="5" s="1"/>
  <c r="E2168" i="5"/>
  <c r="X2168" i="5" s="1"/>
  <c r="V2175" i="5"/>
  <c r="I2175" i="5" s="1"/>
  <c r="V2178" i="5"/>
  <c r="E2178" i="5"/>
  <c r="X2178" i="5" s="1"/>
  <c r="E2179" i="5"/>
  <c r="X2179" i="5" s="1"/>
  <c r="V2180" i="5"/>
  <c r="E2180" i="5" s="1"/>
  <c r="X2180" i="5" s="1"/>
  <c r="V2186" i="5"/>
  <c r="E2186" i="5" s="1"/>
  <c r="X2186" i="5" s="1"/>
  <c r="V2187" i="5"/>
  <c r="V2198" i="5"/>
  <c r="V2199" i="5"/>
  <c r="G2199" i="5" s="1"/>
  <c r="E2201" i="5"/>
  <c r="X2201" i="5" s="1"/>
  <c r="V2202" i="5"/>
  <c r="V2203" i="5"/>
  <c r="V2204" i="5"/>
  <c r="V2210" i="5"/>
  <c r="V2211" i="5"/>
  <c r="V2214" i="5"/>
  <c r="H2214" i="5" s="1"/>
  <c r="V2216" i="5"/>
  <c r="J2216" i="5" s="1"/>
  <c r="E2220" i="5"/>
  <c r="X2220" i="5" s="1"/>
  <c r="V2222" i="5"/>
  <c r="H2222" i="5" s="1"/>
  <c r="V2223" i="5"/>
  <c r="V2226" i="5"/>
  <c r="F2226" i="5" s="1"/>
  <c r="V2228" i="5"/>
  <c r="E2228" i="5" s="1"/>
  <c r="X2228" i="5" s="1"/>
  <c r="V2234" i="5"/>
  <c r="V2235" i="5"/>
  <c r="V2238" i="5"/>
  <c r="V2239" i="5"/>
  <c r="R2239" i="5" s="1"/>
  <c r="V2246" i="5"/>
  <c r="V2247" i="5"/>
  <c r="R2247" i="5" s="1"/>
  <c r="V2250" i="5"/>
  <c r="G2250" i="5" s="1"/>
  <c r="V2251" i="5"/>
  <c r="H2251" i="5" s="1"/>
  <c r="V2252" i="5"/>
  <c r="I2252" i="5" s="1"/>
  <c r="V2258" i="5"/>
  <c r="G2258" i="5" s="1"/>
  <c r="E2258" i="5"/>
  <c r="X2258" i="5" s="1"/>
  <c r="V2259" i="5"/>
  <c r="G2259" i="5" s="1"/>
  <c r="E2261" i="5"/>
  <c r="X2261" i="5" s="1"/>
  <c r="V2262" i="5"/>
  <c r="V2263" i="5"/>
  <c r="V2264" i="5"/>
  <c r="V2270" i="5"/>
  <c r="I2270" i="5" s="1"/>
  <c r="V2271" i="5"/>
  <c r="V2272" i="5"/>
  <c r="J2272" i="5" s="1"/>
  <c r="V2274" i="5"/>
  <c r="J2274" i="5" s="1"/>
  <c r="V2276" i="5"/>
  <c r="V2282" i="5"/>
  <c r="E2282" i="5" s="1"/>
  <c r="X2282" i="5" s="1"/>
  <c r="V2283" i="5"/>
  <c r="H2283" i="5" s="1"/>
  <c r="V2286" i="5"/>
  <c r="V2288" i="5"/>
  <c r="V2294" i="5"/>
  <c r="V2295" i="5"/>
  <c r="E2295" i="5" s="1"/>
  <c r="X2295" i="5" s="1"/>
  <c r="V2298" i="5"/>
  <c r="I2298" i="5" s="1"/>
  <c r="V2299" i="5"/>
  <c r="V2306" i="5"/>
  <c r="V2307" i="5"/>
  <c r="R2307" i="5" s="1"/>
  <c r="V2310" i="5"/>
  <c r="E2311" i="5"/>
  <c r="X2311" i="5" s="1"/>
  <c r="V2318" i="5"/>
  <c r="V2319" i="5"/>
  <c r="V2321" i="5"/>
  <c r="R2321" i="5" s="1"/>
  <c r="V2322" i="5"/>
  <c r="F2322" i="5" s="1"/>
  <c r="V2323" i="5"/>
  <c r="G2323" i="5" s="1"/>
  <c r="V2324" i="5"/>
  <c r="V2331" i="5"/>
  <c r="V2332" i="5"/>
  <c r="V2334" i="5"/>
  <c r="V2335" i="5"/>
  <c r="V2342" i="5"/>
  <c r="F2342" i="5" s="1"/>
  <c r="V2343" i="5"/>
  <c r="V2346" i="5"/>
  <c r="E2347" i="5"/>
  <c r="X2347" i="5" s="1"/>
  <c r="V2348" i="5"/>
  <c r="V2355" i="5"/>
  <c r="V2358" i="5"/>
  <c r="E2362" i="5"/>
  <c r="X2362" i="5" s="1"/>
  <c r="V2366" i="5"/>
  <c r="F2366" i="5" s="1"/>
  <c r="V2367" i="5"/>
  <c r="V2370" i="5"/>
  <c r="V2372" i="5"/>
  <c r="V2378" i="5"/>
  <c r="V2379" i="5"/>
  <c r="G2379" i="5" s="1"/>
  <c r="E2379" i="5"/>
  <c r="X2379" i="5" s="1"/>
  <c r="V2382" i="5"/>
  <c r="V2390" i="5"/>
  <c r="V2391" i="5"/>
  <c r="V2394" i="5"/>
  <c r="V2402" i="5"/>
  <c r="I2402" i="5" s="1"/>
  <c r="V2403" i="5"/>
  <c r="V2406" i="5"/>
  <c r="G2406" i="5" s="1"/>
  <c r="V2408" i="5"/>
  <c r="V2414" i="5"/>
  <c r="V2415" i="5"/>
  <c r="V2418" i="5"/>
  <c r="V2419" i="5"/>
  <c r="V2420" i="5"/>
  <c r="E2420" i="5" s="1"/>
  <c r="X2420" i="5" s="1"/>
  <c r="V2426" i="5"/>
  <c r="V2427" i="5"/>
  <c r="I2427" i="5" s="1"/>
  <c r="V2430" i="5"/>
  <c r="E2430" i="5" s="1"/>
  <c r="X2430" i="5" s="1"/>
  <c r="V2439" i="5"/>
  <c r="E2439" i="5" s="1"/>
  <c r="X2439" i="5" s="1"/>
  <c r="V2442" i="5"/>
  <c r="G2442" i="5" s="1"/>
  <c r="V2443" i="5"/>
  <c r="V2444" i="5"/>
  <c r="V2450" i="5"/>
  <c r="F2450" i="5" s="1"/>
  <c r="E2450" i="5"/>
  <c r="X2450" i="5" s="1"/>
  <c r="V2451" i="5"/>
  <c r="V2454" i="5"/>
  <c r="G2454" i="5" s="1"/>
  <c r="V2462" i="5"/>
  <c r="G2462" i="5" s="1"/>
  <c r="V2463" i="5"/>
  <c r="V2466" i="5"/>
  <c r="E2466" i="5" s="1"/>
  <c r="X2466" i="5" s="1"/>
  <c r="V2467" i="5"/>
  <c r="V2468" i="5"/>
  <c r="V2474" i="5"/>
  <c r="E2474" i="5"/>
  <c r="X2474" i="5" s="1"/>
  <c r="V2475" i="5"/>
  <c r="V2479" i="5"/>
  <c r="J2479" i="5" s="1"/>
  <c r="V2486" i="5"/>
  <c r="V2487" i="5"/>
  <c r="V2490" i="5"/>
  <c r="V2492" i="5"/>
  <c r="V2498" i="5"/>
  <c r="E2498" i="5" s="1"/>
  <c r="V2499" i="5"/>
  <c r="F2499" i="5" s="1"/>
  <c r="V2502" i="5"/>
  <c r="V2504" i="5"/>
  <c r="G2504" i="5" s="1"/>
  <c r="E2504" i="5"/>
  <c r="X2504" i="5" s="1"/>
  <c r="G1163" i="5"/>
  <c r="G1167" i="5"/>
  <c r="G1172" i="5"/>
  <c r="G1181" i="5"/>
  <c r="G1193" i="5"/>
  <c r="G1194" i="5"/>
  <c r="G1200" i="5"/>
  <c r="G1205" i="5"/>
  <c r="G1206" i="5"/>
  <c r="G1208" i="5"/>
  <c r="G1218" i="5"/>
  <c r="G1229" i="5"/>
  <c r="G1235" i="5"/>
  <c r="G1238" i="5"/>
  <c r="G1250" i="5"/>
  <c r="G1251" i="5"/>
  <c r="G1255" i="5"/>
  <c r="G1267" i="5"/>
  <c r="G1280" i="5"/>
  <c r="G1285" i="5"/>
  <c r="G1289" i="5"/>
  <c r="G1301" i="5"/>
  <c r="G1308" i="5"/>
  <c r="G1311" i="5"/>
  <c r="G1323" i="5"/>
  <c r="G1327" i="5"/>
  <c r="G1333" i="5"/>
  <c r="G1334" i="5"/>
  <c r="G1354" i="5"/>
  <c r="G1371" i="5"/>
  <c r="G1385" i="5"/>
  <c r="G1394" i="5"/>
  <c r="G1410" i="5"/>
  <c r="G1411" i="5"/>
  <c r="G1421" i="5"/>
  <c r="G1424" i="5"/>
  <c r="G1428" i="5"/>
  <c r="G1430" i="5"/>
  <c r="G1436" i="5"/>
  <c r="G1442" i="5"/>
  <c r="G1443" i="5"/>
  <c r="G1460" i="5"/>
  <c r="G1464" i="5"/>
  <c r="G1478" i="5"/>
  <c r="G1496" i="5"/>
  <c r="G1506" i="5"/>
  <c r="G1508" i="5"/>
  <c r="G1517" i="5"/>
  <c r="G1518" i="5"/>
  <c r="G1526" i="5"/>
  <c r="G1527" i="5"/>
  <c r="G1530" i="5"/>
  <c r="G1544" i="5"/>
  <c r="G1556" i="5"/>
  <c r="G1587" i="5"/>
  <c r="G1597" i="5"/>
  <c r="G1614" i="5"/>
  <c r="G1626" i="5"/>
  <c r="G1645" i="5"/>
  <c r="G1647" i="5"/>
  <c r="G1649" i="5"/>
  <c r="G1664" i="5"/>
  <c r="G1676" i="5"/>
  <c r="G1706" i="5"/>
  <c r="G1719" i="5"/>
  <c r="G1733" i="5"/>
  <c r="G1742" i="5"/>
  <c r="G1776" i="5"/>
  <c r="G1778" i="5"/>
  <c r="G1782" i="5"/>
  <c r="G1792" i="5"/>
  <c r="G1796" i="5"/>
  <c r="G1807" i="5"/>
  <c r="G1814" i="5"/>
  <c r="G1832" i="5"/>
  <c r="G1849" i="5"/>
  <c r="G1850" i="5"/>
  <c r="G1863" i="5"/>
  <c r="G1887" i="5"/>
  <c r="G1889" i="5"/>
  <c r="G1910" i="5"/>
  <c r="G1934" i="5"/>
  <c r="G1940" i="5"/>
  <c r="G1951" i="5"/>
  <c r="G1974" i="5"/>
  <c r="G1987" i="5"/>
  <c r="G2024" i="5"/>
  <c r="G2034" i="5"/>
  <c r="G2048" i="5"/>
  <c r="G2063" i="5"/>
  <c r="G2067" i="5"/>
  <c r="G2071" i="5"/>
  <c r="G2072" i="5"/>
  <c r="G2093" i="5"/>
  <c r="G2113" i="5"/>
  <c r="G2114" i="5"/>
  <c r="G2124" i="5"/>
  <c r="G2131" i="5"/>
  <c r="G2144" i="5"/>
  <c r="G2150" i="5"/>
  <c r="G2153" i="5"/>
  <c r="G2168" i="5"/>
  <c r="G2180" i="5"/>
  <c r="G2186" i="5"/>
  <c r="G2192" i="5"/>
  <c r="G2196" i="5"/>
  <c r="G2207" i="5"/>
  <c r="G2220" i="5"/>
  <c r="G2240" i="5"/>
  <c r="G2256" i="5"/>
  <c r="G2266" i="5"/>
  <c r="G2281" i="5"/>
  <c r="G2285" i="5"/>
  <c r="G2291" i="5"/>
  <c r="G2300" i="5"/>
  <c r="G2311" i="5"/>
  <c r="G2312" i="5"/>
  <c r="G2334" i="5"/>
  <c r="G2336" i="5"/>
  <c r="G2354" i="5"/>
  <c r="G2360" i="5"/>
  <c r="G2362" i="5"/>
  <c r="G2375" i="5"/>
  <c r="G2377" i="5"/>
  <c r="G2396" i="5"/>
  <c r="G2417" i="5"/>
  <c r="G2424" i="5"/>
  <c r="G2429" i="5"/>
  <c r="G2438" i="5"/>
  <c r="G2439" i="5"/>
  <c r="G2443" i="5"/>
  <c r="G2450" i="5"/>
  <c r="G2480" i="5"/>
  <c r="G2487" i="5"/>
  <c r="G2501"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s="1"/>
  <c r="B58" i="6"/>
  <c r="G58" i="6"/>
  <c r="B57" i="6"/>
  <c r="G57" i="6" s="1"/>
  <c r="B56" i="6"/>
  <c r="G56" i="6"/>
  <c r="B55" i="6"/>
  <c r="G55" i="6"/>
  <c r="B54" i="6"/>
  <c r="G54" i="6"/>
  <c r="B17" i="6"/>
  <c r="F22" i="6" s="1"/>
  <c r="B16" i="6"/>
  <c r="B15" i="6"/>
  <c r="B14" i="6"/>
  <c r="G14" i="6"/>
  <c r="H14" i="6"/>
  <c r="D14" i="6" s="1"/>
  <c r="H13" i="6"/>
  <c r="B12" i="6"/>
  <c r="G12" i="6"/>
  <c r="H12" i="6" s="1"/>
  <c r="D12" i="6" s="1"/>
  <c r="B11" i="6"/>
  <c r="G11" i="6"/>
  <c r="H11" i="6"/>
  <c r="D11" i="6"/>
  <c r="G10" i="6"/>
  <c r="H10" i="6"/>
  <c r="D10" i="6"/>
  <c r="G9" i="6"/>
  <c r="H9" i="6"/>
  <c r="B8" i="6"/>
  <c r="G8" i="6"/>
  <c r="H8" i="6"/>
  <c r="D8" i="6"/>
  <c r="B7" i="6"/>
  <c r="G7" i="6" s="1"/>
  <c r="H7" i="6" s="1"/>
  <c r="D7" i="6" s="1"/>
  <c r="B6" i="6"/>
  <c r="G6" i="6"/>
  <c r="B5" i="6"/>
  <c r="F64" i="6" s="1"/>
  <c r="F6" i="6"/>
  <c r="B4" i="6"/>
  <c r="G4" i="6"/>
  <c r="H4" i="6"/>
  <c r="S2481" i="5"/>
  <c r="R2474" i="5"/>
  <c r="S2473" i="5"/>
  <c r="S2461" i="5"/>
  <c r="S2457" i="5"/>
  <c r="S2454" i="5"/>
  <c r="S2445" i="5"/>
  <c r="S2436" i="5"/>
  <c r="S2433" i="5"/>
  <c r="S2429" i="5"/>
  <c r="S2425" i="5"/>
  <c r="S2417" i="5"/>
  <c r="S2413" i="5"/>
  <c r="S2405" i="5"/>
  <c r="S2401" i="5"/>
  <c r="S2397" i="5"/>
  <c r="S2396" i="5"/>
  <c r="S2393" i="5"/>
  <c r="S2391" i="5"/>
  <c r="S2389" i="5"/>
  <c r="S2385" i="5"/>
  <c r="S2378" i="5"/>
  <c r="S2377" i="5"/>
  <c r="S2376" i="5"/>
  <c r="S2368" i="5"/>
  <c r="S2363" i="5"/>
  <c r="S2360" i="5"/>
  <c r="S2356" i="5"/>
  <c r="S2355" i="5"/>
  <c r="S2354" i="5"/>
  <c r="S2353" i="5"/>
  <c r="S2347" i="5"/>
  <c r="S2343" i="5"/>
  <c r="S2341" i="5"/>
  <c r="S2336" i="5"/>
  <c r="S2332" i="5"/>
  <c r="S2328" i="5"/>
  <c r="S2327" i="5"/>
  <c r="S2323" i="5"/>
  <c r="S2314" i="5"/>
  <c r="S2306" i="5"/>
  <c r="S2302" i="5"/>
  <c r="S2301" i="5"/>
  <c r="F2295" i="5"/>
  <c r="S2288" i="5"/>
  <c r="S2278" i="5"/>
  <c r="S2274" i="5"/>
  <c r="S2267" i="5"/>
  <c r="S2264" i="5"/>
  <c r="S2263" i="5"/>
  <c r="I2261" i="5"/>
  <c r="S2260" i="5"/>
  <c r="S2258" i="5"/>
  <c r="S2247" i="5"/>
  <c r="S2246" i="5"/>
  <c r="S2240" i="5"/>
  <c r="S2239" i="5"/>
  <c r="S2231" i="5"/>
  <c r="S2224" i="5"/>
  <c r="S2223" i="5"/>
  <c r="S2215" i="5"/>
  <c r="S2213" i="5"/>
  <c r="S2207" i="5"/>
  <c r="S2205" i="5"/>
  <c r="S2203" i="5"/>
  <c r="S2199" i="5"/>
  <c r="S2195" i="5"/>
  <c r="S2188" i="5"/>
  <c r="S2185" i="5"/>
  <c r="S2184" i="5"/>
  <c r="S2181" i="5"/>
  <c r="R2174" i="5"/>
  <c r="S2173" i="5"/>
  <c r="S2163" i="5"/>
  <c r="S2161" i="5"/>
  <c r="S2159" i="5"/>
  <c r="S2157" i="5"/>
  <c r="S2155" i="5"/>
  <c r="S2148" i="5"/>
  <c r="S2145" i="5"/>
  <c r="S2141" i="5"/>
  <c r="S2137" i="5"/>
  <c r="S2133" i="5"/>
  <c r="S2132" i="5"/>
  <c r="S2080" i="5"/>
  <c r="S2075" i="5"/>
  <c r="S2070" i="5"/>
  <c r="S2060" i="5"/>
  <c r="S2059" i="5"/>
  <c r="S2051" i="5"/>
  <c r="S2043" i="5"/>
  <c r="I2024" i="5"/>
  <c r="S2019" i="5"/>
  <c r="S1979" i="5"/>
  <c r="S1921" i="5"/>
  <c r="S1917" i="5"/>
  <c r="S1913" i="5"/>
  <c r="S1901" i="5"/>
  <c r="S1898" i="5"/>
  <c r="J1890" i="5"/>
  <c r="S1877" i="5"/>
  <c r="S1859" i="5"/>
  <c r="S1855" i="5"/>
  <c r="S1841" i="5"/>
  <c r="S1826" i="5"/>
  <c r="S1808" i="5"/>
  <c r="S1804" i="5"/>
  <c r="S1801" i="5"/>
  <c r="S1800" i="5"/>
  <c r="S1796" i="5"/>
  <c r="S1791" i="5"/>
  <c r="S1789" i="5"/>
  <c r="S1788" i="5"/>
  <c r="S1784" i="5"/>
  <c r="S1781" i="5"/>
  <c r="S1769" i="5"/>
  <c r="S1768" i="5"/>
  <c r="S1767" i="5"/>
  <c r="S1760" i="5"/>
  <c r="J1758" i="5"/>
  <c r="S1756" i="5"/>
  <c r="S1704" i="5"/>
  <c r="S1684" i="5"/>
  <c r="S1675" i="5"/>
  <c r="S1672" i="5"/>
  <c r="S1664" i="5"/>
  <c r="S1616" i="5"/>
  <c r="I1589" i="5"/>
  <c r="S1550" i="5"/>
  <c r="S1546" i="5"/>
  <c r="S1542" i="5"/>
  <c r="S1540" i="5"/>
  <c r="S1536" i="5"/>
  <c r="R1518" i="5"/>
  <c r="S1512" i="5"/>
  <c r="S1492" i="5"/>
  <c r="S1491" i="5"/>
  <c r="S1485" i="5"/>
  <c r="S1484" i="5"/>
  <c r="S1483" i="5"/>
  <c r="S1479" i="5"/>
  <c r="H1478" i="5"/>
  <c r="S1464" i="5"/>
  <c r="S1448" i="5"/>
  <c r="S1444" i="5"/>
  <c r="I1443" i="5"/>
  <c r="S1435" i="5"/>
  <c r="S1431" i="5"/>
  <c r="S1430" i="5"/>
  <c r="J1424" i="5"/>
  <c r="S1422" i="5"/>
  <c r="S1414" i="5"/>
  <c r="S1410" i="5"/>
  <c r="S1405" i="5"/>
  <c r="S1395" i="5"/>
  <c r="S1391" i="5"/>
  <c r="S1383" i="5"/>
  <c r="S1378" i="5"/>
  <c r="J1371" i="5"/>
  <c r="S1363" i="5"/>
  <c r="S1351" i="5"/>
  <c r="S1348" i="5"/>
  <c r="S1345" i="5"/>
  <c r="S1337" i="5"/>
  <c r="S1336" i="5"/>
  <c r="S1327" i="5"/>
  <c r="S1321" i="5"/>
  <c r="S1316" i="5"/>
  <c r="S1312" i="5"/>
  <c r="S1309" i="5"/>
  <c r="S1300" i="5"/>
  <c r="S1289" i="5"/>
  <c r="S1285" i="5"/>
  <c r="S1283" i="5"/>
  <c r="H1280" i="5"/>
  <c r="S1257" i="5"/>
  <c r="R1250" i="5"/>
  <c r="S1249" i="5"/>
  <c r="S1244" i="5"/>
  <c r="S1236" i="5"/>
  <c r="S1235" i="5"/>
  <c r="S1227" i="5"/>
  <c r="R1218" i="5"/>
  <c r="R1214" i="5"/>
  <c r="S1214" i="5"/>
  <c r="S1213" i="5"/>
  <c r="S1212" i="5"/>
  <c r="S1211" i="5"/>
  <c r="R1208" i="5"/>
  <c r="S1203" i="5"/>
  <c r="R1184" i="5"/>
  <c r="S1171" i="5"/>
  <c r="S1163" i="5"/>
  <c r="S760" i="5"/>
  <c r="R82" i="5"/>
  <c r="R76" i="5"/>
  <c r="R52" i="5"/>
  <c r="R34" i="5"/>
  <c r="AB18" i="5"/>
  <c r="AB6" i="5"/>
  <c r="B90" i="4"/>
  <c r="H67" i="4"/>
  <c r="P47" i="4"/>
  <c r="P46" i="4"/>
  <c r="B46" i="4" s="1"/>
  <c r="A31" i="6" s="1"/>
  <c r="P45" i="4"/>
  <c r="B45" i="4" s="1"/>
  <c r="A30" i="6" s="1"/>
  <c r="P44" i="4"/>
  <c r="P43" i="4"/>
  <c r="Q43" i="4" s="1"/>
  <c r="P41" i="4"/>
  <c r="B41" i="4" s="1"/>
  <c r="A27" i="6" s="1"/>
  <c r="P40" i="4"/>
  <c r="B40" i="4" s="1"/>
  <c r="A26" i="6" s="1"/>
  <c r="P39" i="4"/>
  <c r="P38" i="4"/>
  <c r="B38" i="4" s="1"/>
  <c r="B62" i="4" s="1"/>
  <c r="A44" i="6" s="1"/>
  <c r="P37" i="4"/>
  <c r="Q37" i="4"/>
  <c r="B75" i="4" s="1"/>
  <c r="A54" i="6" s="1"/>
  <c r="P35" i="4"/>
  <c r="P34" i="4"/>
  <c r="P33" i="4"/>
  <c r="P32" i="4"/>
  <c r="P31" i="4"/>
  <c r="Q31" i="4"/>
  <c r="P29" i="4"/>
  <c r="B29" i="4" s="1"/>
  <c r="A17" i="6" s="1"/>
  <c r="P28" i="4"/>
  <c r="P27" i="4"/>
  <c r="P26" i="4"/>
  <c r="A5" i="4"/>
  <c r="Q4" i="5"/>
  <c r="S1770" i="5"/>
  <c r="S1477" i="5"/>
  <c r="AB720" i="5"/>
  <c r="AB841" i="5"/>
  <c r="AB1757" i="5"/>
  <c r="AB858" i="5"/>
  <c r="AB552" i="5"/>
  <c r="AB1731" i="5"/>
  <c r="AB410" i="5"/>
  <c r="AB579" i="5"/>
  <c r="AB674" i="5"/>
  <c r="S2038" i="5"/>
  <c r="AB1566" i="5"/>
  <c r="AB1022" i="5"/>
  <c r="AB488" i="5"/>
  <c r="AB594" i="5"/>
  <c r="AB630" i="5"/>
  <c r="AB324" i="5"/>
  <c r="AB902" i="5"/>
  <c r="AB1071" i="5"/>
  <c r="AB1814" i="5"/>
  <c r="AB446" i="5"/>
  <c r="AB450" i="5"/>
  <c r="AB481" i="5"/>
  <c r="AB643" i="5"/>
  <c r="S1748" i="5"/>
  <c r="S2428" i="5"/>
  <c r="AB1115" i="5"/>
  <c r="S1465" i="5"/>
  <c r="S2068" i="5"/>
  <c r="AB299" i="5"/>
  <c r="AB1140" i="5"/>
  <c r="AB348" i="5"/>
  <c r="AB1079" i="5"/>
  <c r="AB1110" i="5"/>
  <c r="AB164" i="5"/>
  <c r="AB903" i="5"/>
  <c r="S1164" i="5"/>
  <c r="AB1933" i="5"/>
  <c r="AB1987" i="5"/>
  <c r="AB2319" i="5"/>
  <c r="S2330" i="5"/>
  <c r="AB2418" i="5"/>
  <c r="AB341" i="5"/>
  <c r="AB384" i="5"/>
  <c r="AB493" i="5"/>
  <c r="AB587" i="5"/>
  <c r="AB1277" i="5"/>
  <c r="S1455" i="5"/>
  <c r="AB1806" i="5"/>
  <c r="S1821" i="5"/>
  <c r="S2047" i="5"/>
  <c r="S1752" i="5"/>
  <c r="S1766" i="5"/>
  <c r="S2022" i="5"/>
  <c r="AB517" i="5"/>
  <c r="AB607" i="5"/>
  <c r="AB1308" i="5"/>
  <c r="S1386" i="5"/>
  <c r="AB2166" i="5"/>
  <c r="S2408" i="5"/>
  <c r="AB418" i="5"/>
  <c r="AB972" i="5"/>
  <c r="AB1094" i="5"/>
  <c r="S1640" i="5"/>
  <c r="S1958" i="5"/>
  <c r="AB2463" i="5"/>
  <c r="AB1598" i="5"/>
  <c r="S1750" i="5"/>
  <c r="S2212" i="5"/>
  <c r="F20" i="6"/>
  <c r="F21" i="6"/>
  <c r="R70" i="5"/>
  <c r="AB364" i="5"/>
  <c r="J1218" i="5"/>
  <c r="J1250" i="5"/>
  <c r="H2474" i="5"/>
  <c r="AB196" i="5"/>
  <c r="AB467" i="5"/>
  <c r="AB520" i="5"/>
  <c r="AB627" i="5"/>
  <c r="H1208" i="5"/>
  <c r="AB1753" i="5"/>
  <c r="AB255" i="5"/>
  <c r="AB1273" i="5"/>
  <c r="H1250" i="5"/>
  <c r="H1443" i="5"/>
  <c r="AB372" i="5"/>
  <c r="AB376" i="5"/>
  <c r="AB380" i="5"/>
  <c r="AB1058" i="5"/>
  <c r="AB231" i="5"/>
  <c r="AB838" i="5"/>
  <c r="AB983" i="5"/>
  <c r="AB1455" i="5"/>
  <c r="AB340" i="5"/>
  <c r="AB469" i="5"/>
  <c r="AB473" i="5"/>
  <c r="AB666" i="5"/>
  <c r="AB1779" i="5"/>
  <c r="F1165" i="5"/>
  <c r="S1743" i="5"/>
  <c r="AB1802" i="5"/>
  <c r="I2458" i="5"/>
  <c r="AB30" i="5"/>
  <c r="AB126" i="5"/>
  <c r="AB438" i="5"/>
  <c r="AB459" i="5"/>
  <c r="AB598" i="5"/>
  <c r="AB794" i="5"/>
  <c r="AB913" i="5"/>
  <c r="AB915" i="5"/>
  <c r="AB929" i="5"/>
  <c r="AB1095" i="5"/>
  <c r="S1276" i="5"/>
  <c r="S2214" i="5"/>
  <c r="S1310" i="5"/>
  <c r="S2269" i="5"/>
  <c r="AB24" i="5"/>
  <c r="AB102" i="5"/>
  <c r="AB242" i="5"/>
  <c r="AB283" i="5"/>
  <c r="AB308" i="5"/>
  <c r="AB426" i="5"/>
  <c r="AB430" i="5"/>
  <c r="AB457" i="5"/>
  <c r="AB485" i="5"/>
  <c r="AB525" i="5"/>
  <c r="AB614" i="5"/>
  <c r="AB633" i="5"/>
  <c r="AB684" i="5"/>
  <c r="AB712" i="5"/>
  <c r="AB718" i="5"/>
  <c r="AB854" i="5"/>
  <c r="AB964" i="5"/>
  <c r="AB998" i="5"/>
  <c r="AB1082" i="5"/>
  <c r="F1184" i="5"/>
  <c r="S1287" i="5"/>
  <c r="S1515" i="5"/>
  <c r="S1870" i="5"/>
  <c r="AB1042" i="5"/>
  <c r="S2483" i="5"/>
  <c r="AB218" i="5"/>
  <c r="AB235" i="5"/>
  <c r="AB368" i="5"/>
  <c r="AB400" i="5"/>
  <c r="AB442" i="5"/>
  <c r="AB509" i="5"/>
  <c r="AB536" i="5"/>
  <c r="AB556" i="5"/>
  <c r="AB591" i="5"/>
  <c r="AB710" i="5"/>
  <c r="AB845" i="5"/>
  <c r="AB914" i="5"/>
  <c r="AB959" i="5"/>
  <c r="AB1149" i="5"/>
  <c r="S1284" i="5"/>
  <c r="S1793" i="5"/>
  <c r="AB1793" i="5"/>
  <c r="S2434" i="5"/>
  <c r="AB106" i="5"/>
  <c r="AB638" i="5"/>
  <c r="AB730" i="5"/>
  <c r="R1406" i="5"/>
  <c r="F1406" i="5"/>
  <c r="S1471" i="5"/>
  <c r="J1898" i="5"/>
  <c r="F1987" i="5"/>
  <c r="S2129" i="5"/>
  <c r="AB626" i="5"/>
  <c r="AB659" i="5"/>
  <c r="AB669" i="5"/>
  <c r="AB960" i="5"/>
  <c r="AB1098" i="5"/>
  <c r="AB1374" i="5"/>
  <c r="S2066" i="5"/>
  <c r="S2084" i="5"/>
  <c r="AB2214" i="5"/>
  <c r="AB2292" i="5"/>
  <c r="AB1479" i="5"/>
  <c r="AB1771" i="5"/>
  <c r="S2289" i="5"/>
  <c r="AB2406" i="5"/>
  <c r="S1319" i="5"/>
  <c r="S1699" i="5"/>
  <c r="H1709" i="5"/>
  <c r="S1896" i="5"/>
  <c r="S1904" i="5"/>
  <c r="S1943" i="5"/>
  <c r="S2099" i="5"/>
  <c r="S1552" i="5"/>
  <c r="S2014" i="5"/>
  <c r="S2039" i="5"/>
  <c r="S2176" i="5"/>
  <c r="AB2280" i="5"/>
  <c r="H2450" i="5"/>
  <c r="S1340" i="5"/>
  <c r="S1401" i="5"/>
  <c r="AB1574" i="5"/>
  <c r="S1592" i="5"/>
  <c r="AB1700" i="5"/>
  <c r="AB1747" i="5"/>
  <c r="S1871" i="5"/>
  <c r="S2006" i="5"/>
  <c r="H2024" i="5"/>
  <c r="AB2093" i="5"/>
  <c r="S2290" i="5"/>
  <c r="I2450" i="5"/>
  <c r="S1274" i="5"/>
  <c r="S1291" i="5"/>
  <c r="S1301" i="5"/>
  <c r="AB1340" i="5"/>
  <c r="S1632" i="5"/>
  <c r="S1700" i="5"/>
  <c r="S1794" i="5"/>
  <c r="AB2031" i="5"/>
  <c r="R2450" i="5"/>
  <c r="H1218" i="5"/>
  <c r="S1280" i="5"/>
  <c r="I1455" i="5"/>
  <c r="AB1558" i="5"/>
  <c r="AB1582" i="5"/>
  <c r="AB1622" i="5"/>
  <c r="S1656" i="5"/>
  <c r="S1659" i="5"/>
  <c r="S1758" i="5"/>
  <c r="S1779" i="5"/>
  <c r="S1807" i="5"/>
  <c r="S1938" i="5"/>
  <c r="AB2063" i="5"/>
  <c r="AB2150" i="5"/>
  <c r="S2463" i="5"/>
  <c r="AB895" i="5"/>
  <c r="AB1863" i="5"/>
  <c r="S1863" i="5"/>
  <c r="AB210" i="5"/>
  <c r="AB170" i="5"/>
  <c r="AB262" i="5"/>
  <c r="AB298" i="5"/>
  <c r="S1447" i="5"/>
  <c r="AB114" i="5"/>
  <c r="AB166" i="5"/>
  <c r="AB178" i="5"/>
  <c r="AB110" i="5"/>
  <c r="AB150" i="5"/>
  <c r="AB186" i="5"/>
  <c r="AB230" i="5"/>
  <c r="AB251" i="5"/>
  <c r="AB267" i="5"/>
  <c r="AB453" i="5"/>
  <c r="AB454" i="5"/>
  <c r="AB472" i="5"/>
  <c r="AB560" i="5"/>
  <c r="AB595" i="5"/>
  <c r="AB875" i="5"/>
  <c r="AB907" i="5"/>
  <c r="AB942" i="5"/>
  <c r="AB974" i="5"/>
  <c r="AB990" i="5"/>
  <c r="AB851" i="5"/>
  <c r="AB982" i="5"/>
  <c r="AB1026" i="5"/>
  <c r="AB1086" i="5"/>
  <c r="AB132" i="5"/>
  <c r="AB190" i="5"/>
  <c r="AB263" i="5"/>
  <c r="AB275" i="5"/>
  <c r="AB357" i="5"/>
  <c r="AB365" i="5"/>
  <c r="AB434" i="5"/>
  <c r="AB551" i="5"/>
  <c r="AB696" i="5"/>
  <c r="AB808" i="5"/>
  <c r="AB872" i="5"/>
  <c r="AB882" i="5"/>
  <c r="AB836" i="5"/>
  <c r="AB1014" i="5"/>
  <c r="AB207" i="5"/>
  <c r="AB215" i="5"/>
  <c r="AB282" i="5"/>
  <c r="AB356" i="5"/>
  <c r="AB451" i="5"/>
  <c r="AB869" i="5"/>
  <c r="AB948" i="5"/>
  <c r="AB567" i="5"/>
  <c r="AB122" i="5"/>
  <c r="AB174" i="5"/>
  <c r="AB219" i="5"/>
  <c r="AB239" i="5"/>
  <c r="AB278" i="5"/>
  <c r="AB316" i="5"/>
  <c r="AB396" i="5"/>
  <c r="AB404" i="5"/>
  <c r="AB414" i="5"/>
  <c r="AB422" i="5"/>
  <c r="AB458" i="5"/>
  <c r="AB468" i="5"/>
  <c r="AB680" i="5"/>
  <c r="AB856" i="5"/>
  <c r="AB909" i="5"/>
  <c r="AB575" i="5"/>
  <c r="AB603" i="5"/>
  <c r="AB610" i="5"/>
  <c r="AB639" i="5"/>
  <c r="AB641" i="5"/>
  <c r="AB646" i="5"/>
  <c r="AB654" i="5"/>
  <c r="AB738" i="5"/>
  <c r="AB806" i="5"/>
  <c r="AB823" i="5"/>
  <c r="AB825" i="5"/>
  <c r="AB888" i="5"/>
  <c r="AB911" i="5"/>
  <c r="AB916" i="5"/>
  <c r="AB927" i="5"/>
  <c r="AB930" i="5"/>
  <c r="AB945" i="5"/>
  <c r="AB1107" i="5"/>
  <c r="AB1325" i="5"/>
  <c r="S1368" i="5"/>
  <c r="AB809" i="5"/>
  <c r="AB601" i="5"/>
  <c r="AB649" i="5"/>
  <c r="AB748" i="5"/>
  <c r="AB893" i="5"/>
  <c r="AB931" i="5"/>
  <c r="AB958" i="5"/>
  <c r="AB1018" i="5"/>
  <c r="AB1043" i="5"/>
  <c r="AB1126" i="5"/>
  <c r="S1372" i="5"/>
  <c r="S1588" i="5"/>
  <c r="AB541" i="5"/>
  <c r="AB583" i="5"/>
  <c r="AB615" i="5"/>
  <c r="AB617" i="5"/>
  <c r="AB741" i="5"/>
  <c r="S754" i="5"/>
  <c r="AB898" i="5"/>
  <c r="AB946" i="5"/>
  <c r="AB613" i="5"/>
  <c r="AB621" i="5"/>
  <c r="AB647" i="5"/>
  <c r="AB688" i="5"/>
  <c r="AB805" i="5"/>
  <c r="AB887" i="5"/>
  <c r="S941" i="5"/>
  <c r="AB1103" i="5"/>
  <c r="AB1118" i="5"/>
  <c r="AB1157" i="5"/>
  <c r="S1157" i="5"/>
  <c r="AB1320" i="5"/>
  <c r="R1385" i="5"/>
  <c r="AB835" i="5"/>
  <c r="AB986" i="5"/>
  <c r="AB1034" i="5"/>
  <c r="AB1106" i="5"/>
  <c r="AB609" i="5"/>
  <c r="AB622" i="5"/>
  <c r="AB662" i="5"/>
  <c r="AB671" i="5"/>
  <c r="AB708" i="5"/>
  <c r="AB732" i="5"/>
  <c r="AB744" i="5"/>
  <c r="AB782" i="5"/>
  <c r="AB833" i="5"/>
  <c r="AB881" i="5"/>
  <c r="AB890" i="5"/>
  <c r="AB899" i="5"/>
  <c r="AB944" i="5"/>
  <c r="AB1038" i="5"/>
  <c r="S1417" i="5"/>
  <c r="AB1054" i="5"/>
  <c r="AB1074" i="5"/>
  <c r="AB1226" i="5"/>
  <c r="AB1362" i="5"/>
  <c r="AB1475" i="5"/>
  <c r="AB1554" i="5"/>
  <c r="S1628" i="5"/>
  <c r="S1178" i="5"/>
  <c r="S1388" i="5"/>
  <c r="S1819" i="5"/>
  <c r="AB1090" i="5"/>
  <c r="AB1145" i="5"/>
  <c r="S1273" i="5"/>
  <c r="S1275" i="5"/>
  <c r="S1308" i="5"/>
  <c r="S1313" i="5"/>
  <c r="S1323" i="5"/>
  <c r="S1350" i="5"/>
  <c r="S1362" i="5"/>
  <c r="S1454" i="5"/>
  <c r="S1513" i="5"/>
  <c r="AB1923" i="5"/>
  <c r="S1923" i="5"/>
  <c r="S2026" i="5"/>
  <c r="AB1050" i="5"/>
  <c r="AB1131" i="5"/>
  <c r="AB1194" i="5"/>
  <c r="S1209" i="5"/>
  <c r="S1332" i="5"/>
  <c r="I1406" i="5"/>
  <c r="H1406" i="5"/>
  <c r="AB1490" i="5"/>
  <c r="S1495" i="5"/>
  <c r="S1531" i="5"/>
  <c r="S1564" i="5"/>
  <c r="AB1578" i="5"/>
  <c r="S1643" i="5"/>
  <c r="AB2012" i="5"/>
  <c r="S2310" i="5"/>
  <c r="AB1067" i="5"/>
  <c r="AB1102" i="5"/>
  <c r="AB1122" i="5"/>
  <c r="AB1333" i="5"/>
  <c r="AB1373" i="5"/>
  <c r="S1451" i="5"/>
  <c r="S1556" i="5"/>
  <c r="S1608" i="5"/>
  <c r="AB1640" i="5"/>
  <c r="AB1851" i="5"/>
  <c r="S2206" i="5"/>
  <c r="S2236" i="5"/>
  <c r="S1277" i="5"/>
  <c r="S1720" i="5"/>
  <c r="S2072" i="5"/>
  <c r="AB994" i="5"/>
  <c r="AB1147" i="5"/>
  <c r="AB1154" i="5"/>
  <c r="S1218" i="5"/>
  <c r="S1250" i="5"/>
  <c r="S1253" i="5"/>
  <c r="S1281" i="5"/>
  <c r="AB1301" i="5"/>
  <c r="S1333" i="5"/>
  <c r="S1344" i="5"/>
  <c r="AB1349" i="5"/>
  <c r="AB1382" i="5"/>
  <c r="AB1454" i="5"/>
  <c r="AB1491" i="5"/>
  <c r="S1511" i="5"/>
  <c r="J1519" i="5"/>
  <c r="AB1685" i="5"/>
  <c r="AB1745" i="5"/>
  <c r="AB1767" i="5"/>
  <c r="S1774" i="5"/>
  <c r="AB1791" i="5"/>
  <c r="S1823" i="5"/>
  <c r="S1850" i="5"/>
  <c r="S1888" i="5"/>
  <c r="S1907" i="5"/>
  <c r="AB1746" i="5"/>
  <c r="S2252" i="5"/>
  <c r="AB2252" i="5"/>
  <c r="S2379" i="5"/>
  <c r="AB1602" i="5"/>
  <c r="AB1871" i="5"/>
  <c r="S1874" i="5"/>
  <c r="S2010" i="5"/>
  <c r="S2352" i="5"/>
  <c r="AB1590" i="5"/>
  <c r="AB1625" i="5"/>
  <c r="S1671" i="5"/>
  <c r="S1711" i="5"/>
  <c r="S1822" i="5"/>
  <c r="S1887" i="5"/>
  <c r="AB1934" i="5"/>
  <c r="AB1937" i="5"/>
  <c r="AB1606" i="5"/>
  <c r="S1778" i="5"/>
  <c r="AB1898" i="5"/>
  <c r="AB1778" i="5"/>
  <c r="S2046" i="5"/>
  <c r="S1834" i="5"/>
  <c r="R1890" i="5"/>
  <c r="S2018" i="5"/>
  <c r="S2031" i="5"/>
  <c r="AB2450" i="5"/>
  <c r="AB1986" i="5"/>
  <c r="S2058" i="5"/>
  <c r="AB2094" i="5"/>
  <c r="AB2102" i="5"/>
  <c r="S2104" i="5"/>
  <c r="S2116" i="5"/>
  <c r="AB2162" i="5"/>
  <c r="AB2226" i="5"/>
  <c r="AB2310" i="5"/>
  <c r="S2326" i="5"/>
  <c r="AB2333" i="5"/>
  <c r="AB2393" i="5"/>
  <c r="I2474" i="5"/>
  <c r="J2474" i="5"/>
  <c r="AB1999" i="5"/>
  <c r="AB2054" i="5"/>
  <c r="AB2103" i="5"/>
  <c r="S2123" i="5"/>
  <c r="S2292" i="5"/>
  <c r="AB2297" i="5"/>
  <c r="I2342" i="5"/>
  <c r="AB2355" i="5"/>
  <c r="AB2417" i="5"/>
  <c r="S2100" i="5"/>
  <c r="S2172" i="5"/>
  <c r="S2222" i="5"/>
  <c r="S2250" i="5"/>
  <c r="I2282" i="5"/>
  <c r="S2334" i="5"/>
  <c r="S2407" i="5"/>
  <c r="S2412" i="5"/>
  <c r="S2432" i="5"/>
  <c r="AB1959" i="5"/>
  <c r="AB2057" i="5"/>
  <c r="AB2149" i="5"/>
  <c r="AB2210" i="5"/>
  <c r="J2282" i="5"/>
  <c r="S2462" i="5"/>
  <c r="AB2256" i="5"/>
  <c r="S1987" i="5"/>
  <c r="AB2036" i="5"/>
  <c r="AB2107" i="5"/>
  <c r="H2210" i="5"/>
  <c r="S2218" i="5"/>
  <c r="AB2283" i="5"/>
  <c r="S2333" i="5"/>
  <c r="AB140" i="5"/>
  <c r="AB156" i="5"/>
  <c r="AB160" i="5"/>
  <c r="AB204" i="5"/>
  <c r="AB211" i="5"/>
  <c r="AB455" i="5"/>
  <c r="AB222" i="5"/>
  <c r="AB254" i="5"/>
  <c r="AB258" i="5"/>
  <c r="AB270" i="5"/>
  <c r="AB363" i="5"/>
  <c r="AB307" i="5"/>
  <c r="AB118" i="5"/>
  <c r="AB130" i="5"/>
  <c r="AB182" i="5"/>
  <c r="AB194" i="5"/>
  <c r="AB315" i="5"/>
  <c r="AB330" i="5"/>
  <c r="AB395" i="5"/>
  <c r="AB867" i="5"/>
  <c r="AB1003" i="5"/>
  <c r="AB290" i="5"/>
  <c r="R58" i="5"/>
  <c r="AB26" i="5"/>
  <c r="AB22" i="5"/>
  <c r="AB108" i="5"/>
  <c r="AB124" i="5"/>
  <c r="AB128" i="5"/>
  <c r="AB146" i="5"/>
  <c r="AB172" i="5"/>
  <c r="AB188" i="5"/>
  <c r="AB192" i="5"/>
  <c r="AB206" i="5"/>
  <c r="AB214" i="5"/>
  <c r="AB226" i="5"/>
  <c r="AB294" i="5"/>
  <c r="AB337" i="5"/>
  <c r="AB383" i="5"/>
  <c r="AB471" i="5"/>
  <c r="AB477" i="5"/>
  <c r="AB529" i="5"/>
  <c r="AB266" i="5"/>
  <c r="AB134" i="5"/>
  <c r="AB142" i="5"/>
  <c r="AB198" i="5"/>
  <c r="AB306" i="5"/>
  <c r="AB323" i="5"/>
  <c r="AB349" i="5"/>
  <c r="AB381" i="5"/>
  <c r="AB138" i="5"/>
  <c r="AB154" i="5"/>
  <c r="AB158" i="5"/>
  <c r="AB202" i="5"/>
  <c r="AB223" i="5"/>
  <c r="AB238" i="5"/>
  <c r="AB246" i="5"/>
  <c r="AB259" i="5"/>
  <c r="AB274" i="5"/>
  <c r="AB322" i="5"/>
  <c r="AB32" i="5"/>
  <c r="AB162" i="5"/>
  <c r="AB227" i="5"/>
  <c r="AB247" i="5"/>
  <c r="AB314" i="5"/>
  <c r="AB331" i="5"/>
  <c r="AB545" i="5"/>
  <c r="AB611" i="5"/>
  <c r="AB623" i="5"/>
  <c r="AB704" i="5"/>
  <c r="AB752" i="5"/>
  <c r="AB849" i="5"/>
  <c r="F1553" i="5"/>
  <c r="AB243" i="5"/>
  <c r="AB279" i="5"/>
  <c r="AB311" i="5"/>
  <c r="AB319" i="5"/>
  <c r="AB327" i="5"/>
  <c r="AB344" i="5"/>
  <c r="AB347" i="5"/>
  <c r="AB388" i="5"/>
  <c r="AB417" i="5"/>
  <c r="AB425" i="5"/>
  <c r="AB433" i="5"/>
  <c r="AB441" i="5"/>
  <c r="AB449" i="5"/>
  <c r="AB489" i="5"/>
  <c r="AB501" i="5"/>
  <c r="AB505" i="5"/>
  <c r="AB513" i="5"/>
  <c r="AB521" i="5"/>
  <c r="AB537" i="5"/>
  <c r="AB571" i="5"/>
  <c r="AB661" i="5"/>
  <c r="AB724" i="5"/>
  <c r="AB295" i="5"/>
  <c r="AB302" i="5"/>
  <c r="AB355" i="5"/>
  <c r="AB379" i="5"/>
  <c r="AB407" i="5"/>
  <c r="AB415" i="5"/>
  <c r="AB423" i="5"/>
  <c r="AB424" i="5"/>
  <c r="AB431" i="5"/>
  <c r="AB432" i="5"/>
  <c r="AB439" i="5"/>
  <c r="AB440" i="5"/>
  <c r="AB447" i="5"/>
  <c r="AB448" i="5"/>
  <c r="AB461" i="5"/>
  <c r="AB563" i="5"/>
  <c r="AB631" i="5"/>
  <c r="AB971" i="5"/>
  <c r="AB234" i="5"/>
  <c r="AB250" i="5"/>
  <c r="AB271" i="5"/>
  <c r="AB286" i="5"/>
  <c r="AB291" i="5"/>
  <c r="AB304" i="5"/>
  <c r="AB371" i="5"/>
  <c r="AB387" i="5"/>
  <c r="AB391" i="5"/>
  <c r="AB392" i="5"/>
  <c r="AB399" i="5"/>
  <c r="AB460" i="5"/>
  <c r="AB462" i="5"/>
  <c r="AB533" i="5"/>
  <c r="AB547" i="5"/>
  <c r="AB555" i="5"/>
  <c r="AB599" i="5"/>
  <c r="AB651" i="5"/>
  <c r="AB677" i="5"/>
  <c r="AB716" i="5"/>
  <c r="AB955" i="5"/>
  <c r="AB967" i="5"/>
  <c r="AB287" i="5"/>
  <c r="AB309" i="5"/>
  <c r="AB317" i="5"/>
  <c r="AB325" i="5"/>
  <c r="AB335" i="5"/>
  <c r="AB413" i="5"/>
  <c r="AB421" i="5"/>
  <c r="AB429" i="5"/>
  <c r="AB437" i="5"/>
  <c r="AB445" i="5"/>
  <c r="AB463" i="5"/>
  <c r="AB504" i="5"/>
  <c r="AB559" i="5"/>
  <c r="AB619" i="5"/>
  <c r="AB749" i="5"/>
  <c r="AB757" i="5"/>
  <c r="AB813" i="5"/>
  <c r="AB403" i="5"/>
  <c r="AB411" i="5"/>
  <c r="AB419" i="5"/>
  <c r="AB420" i="5"/>
  <c r="AB427" i="5"/>
  <c r="AB428" i="5"/>
  <c r="AB435" i="5"/>
  <c r="AB436" i="5"/>
  <c r="AB443" i="5"/>
  <c r="AB444" i="5"/>
  <c r="AB456" i="5"/>
  <c r="AB470" i="5"/>
  <c r="AB497" i="5"/>
  <c r="AB635" i="5"/>
  <c r="AB645" i="5"/>
  <c r="AB655" i="5"/>
  <c r="AB746" i="5"/>
  <c r="AB762" i="5"/>
  <c r="AB807" i="5"/>
  <c r="AB839" i="5"/>
  <c r="AB843" i="5"/>
  <c r="AB891" i="5"/>
  <c r="AB1046" i="5"/>
  <c r="S1265" i="5"/>
  <c r="AB1265" i="5"/>
  <c r="AB602" i="5"/>
  <c r="AB629" i="5"/>
  <c r="AB634" i="5"/>
  <c r="AB650" i="5"/>
  <c r="AB667" i="5"/>
  <c r="AB673" i="5"/>
  <c r="AB678" i="5"/>
  <c r="AB700" i="5"/>
  <c r="AB725" i="5"/>
  <c r="AB733" i="5"/>
  <c r="AB740" i="5"/>
  <c r="AB742" i="5"/>
  <c r="AB754" i="5"/>
  <c r="AB766" i="5"/>
  <c r="AB828" i="5"/>
  <c r="AB852" i="5"/>
  <c r="AB885" i="5"/>
  <c r="AB679" i="5"/>
  <c r="AB840" i="5"/>
  <c r="AB935" i="5"/>
  <c r="AB1010" i="5"/>
  <c r="AB605" i="5"/>
  <c r="AB663" i="5"/>
  <c r="AB695" i="5"/>
  <c r="AB726" i="5"/>
  <c r="AB734" i="5"/>
  <c r="AB758" i="5"/>
  <c r="AB770" i="5"/>
  <c r="AB790" i="5"/>
  <c r="AB820" i="5"/>
  <c r="AB848" i="5"/>
  <c r="AB865" i="5"/>
  <c r="AB879" i="5"/>
  <c r="AB947" i="5"/>
  <c r="AB1023" i="5"/>
  <c r="AB1030" i="5"/>
  <c r="AB1087" i="5"/>
  <c r="AB452" i="5"/>
  <c r="AB625" i="5"/>
  <c r="AB637" i="5"/>
  <c r="AB653" i="5"/>
  <c r="AB657" i="5"/>
  <c r="AB709" i="5"/>
  <c r="AB717" i="5"/>
  <c r="AB774" i="5"/>
  <c r="AB798" i="5"/>
  <c r="AB824" i="5"/>
  <c r="AB951" i="5"/>
  <c r="AB1027" i="5"/>
  <c r="AB1119" i="5"/>
  <c r="AB590" i="5"/>
  <c r="AB618" i="5"/>
  <c r="AB642" i="5"/>
  <c r="AB658" i="5"/>
  <c r="AB665" i="5"/>
  <c r="AB675" i="5"/>
  <c r="AB692" i="5"/>
  <c r="AB714" i="5"/>
  <c r="AB722" i="5"/>
  <c r="AB728" i="5"/>
  <c r="AB736" i="5"/>
  <c r="AB750" i="5"/>
  <c r="AB834" i="5"/>
  <c r="AB846" i="5"/>
  <c r="AB866" i="5"/>
  <c r="AB883" i="5"/>
  <c r="AB1002" i="5"/>
  <c r="S1169" i="5"/>
  <c r="AB606" i="5"/>
  <c r="AB670" i="5"/>
  <c r="AB812" i="5"/>
  <c r="AB829" i="5"/>
  <c r="AB954" i="5"/>
  <c r="AB999" i="5"/>
  <c r="AB1006" i="5"/>
  <c r="AB1059" i="5"/>
  <c r="AB1070" i="5"/>
  <c r="AB1114" i="5"/>
  <c r="AB778" i="5"/>
  <c r="AB818" i="5"/>
  <c r="AB831" i="5"/>
  <c r="AB832" i="5"/>
  <c r="AB837" i="5"/>
  <c r="AB842" i="5"/>
  <c r="AB844" i="5"/>
  <c r="AB870" i="5"/>
  <c r="AB874" i="5"/>
  <c r="AB900" i="5"/>
  <c r="AB932" i="5"/>
  <c r="AB936" i="5"/>
  <c r="AB941" i="5"/>
  <c r="AB943" i="5"/>
  <c r="AB956" i="5"/>
  <c r="AB962" i="5"/>
  <c r="AB963" i="5"/>
  <c r="AB966" i="5"/>
  <c r="AB978" i="5"/>
  <c r="AB995" i="5"/>
  <c r="AB1019" i="5"/>
  <c r="AB1062" i="5"/>
  <c r="AB1138" i="5"/>
  <c r="S1172" i="5"/>
  <c r="S1185" i="5"/>
  <c r="S1189" i="5"/>
  <c r="AB1202" i="5"/>
  <c r="S1202" i="5"/>
  <c r="R1229" i="5"/>
  <c r="H1229" i="5"/>
  <c r="J1229" i="5"/>
  <c r="AB822" i="5"/>
  <c r="AB920" i="5"/>
  <c r="AB940" i="5"/>
  <c r="AB952" i="5"/>
  <c r="AB979" i="5"/>
  <c r="AB1039" i="5"/>
  <c r="AB1111" i="5"/>
  <c r="AB1123" i="5"/>
  <c r="J1205" i="5"/>
  <c r="AB850" i="5"/>
  <c r="AB939" i="5"/>
  <c r="AB1015" i="5"/>
  <c r="AB1035" i="5"/>
  <c r="AB1055" i="5"/>
  <c r="AB1066" i="5"/>
  <c r="AB1083" i="5"/>
  <c r="AB1130" i="5"/>
  <c r="S1221" i="5"/>
  <c r="AB1487" i="5"/>
  <c r="S1521" i="5"/>
  <c r="S1837" i="5"/>
  <c r="AB975" i="5"/>
  <c r="AB991" i="5"/>
  <c r="AB1051" i="5"/>
  <c r="AB1133" i="5"/>
  <c r="AB753" i="5"/>
  <c r="AB786" i="5"/>
  <c r="AB802" i="5"/>
  <c r="AB826" i="5"/>
  <c r="AB847" i="5"/>
  <c r="AB853" i="5"/>
  <c r="AB886" i="5"/>
  <c r="AB904" i="5"/>
  <c r="AB919" i="5"/>
  <c r="AB923" i="5"/>
  <c r="AB925" i="5"/>
  <c r="AB937" i="5"/>
  <c r="AB950" i="5"/>
  <c r="AB968" i="5"/>
  <c r="AB987" i="5"/>
  <c r="AB1011" i="5"/>
  <c r="AB1031" i="5"/>
  <c r="AB1078" i="5"/>
  <c r="AB1127" i="5"/>
  <c r="AB1159" i="5"/>
  <c r="S1168" i="5"/>
  <c r="AB1007" i="5"/>
  <c r="AB1047" i="5"/>
  <c r="AB1075" i="5"/>
  <c r="S1177" i="5"/>
  <c r="AB1184" i="5"/>
  <c r="S1197" i="5"/>
  <c r="S1229" i="5"/>
  <c r="AB1229" i="5"/>
  <c r="H1289" i="5"/>
  <c r="AB1443" i="5"/>
  <c r="AB1328" i="5"/>
  <c r="S1354" i="5"/>
  <c r="AB1661" i="5"/>
  <c r="S1724" i="5"/>
  <c r="AB1091" i="5"/>
  <c r="AB1236" i="5"/>
  <c r="S1242" i="5"/>
  <c r="S1411" i="5"/>
  <c r="R1422" i="5"/>
  <c r="F1422" i="5"/>
  <c r="S1450" i="5"/>
  <c r="S1584" i="5"/>
  <c r="S1225" i="5"/>
  <c r="S1258" i="5"/>
  <c r="AB1394" i="5"/>
  <c r="S1394" i="5"/>
  <c r="S1467" i="5"/>
  <c r="S1241" i="5"/>
  <c r="S1261" i="5"/>
  <c r="S1270" i="5"/>
  <c r="S1298" i="5"/>
  <c r="J1301" i="5"/>
  <c r="I1301" i="5"/>
  <c r="S1330" i="5"/>
  <c r="S1366" i="5"/>
  <c r="S1403" i="5"/>
  <c r="S1543" i="5"/>
  <c r="AB1063" i="5"/>
  <c r="AB1099" i="5"/>
  <c r="AB1234" i="5"/>
  <c r="S1246" i="5"/>
  <c r="S1254" i="5"/>
  <c r="S1290" i="5"/>
  <c r="S1293" i="5"/>
  <c r="F1301" i="5"/>
  <c r="S1325" i="5"/>
  <c r="F1333" i="5"/>
  <c r="S1541" i="5"/>
  <c r="S1676" i="5"/>
  <c r="S1207" i="5"/>
  <c r="S1220" i="5"/>
  <c r="AB1256" i="5"/>
  <c r="AB1285" i="5"/>
  <c r="S1384" i="5"/>
  <c r="AB1467" i="5"/>
  <c r="S1317" i="5"/>
  <c r="AB1410" i="5"/>
  <c r="AB1434" i="5"/>
  <c r="S1580" i="5"/>
  <c r="AB1621" i="5"/>
  <c r="S1727" i="5"/>
  <c r="R1748" i="5"/>
  <c r="H1748" i="5"/>
  <c r="S1751" i="5"/>
  <c r="S1777" i="5"/>
  <c r="AB1803" i="5"/>
  <c r="S1803" i="5"/>
  <c r="S1815" i="5"/>
  <c r="AB1867" i="5"/>
  <c r="AB1284" i="5"/>
  <c r="H1285" i="5"/>
  <c r="S1302" i="5"/>
  <c r="AB1316" i="5"/>
  <c r="S1334" i="5"/>
  <c r="S1382" i="5"/>
  <c r="AB1390" i="5"/>
  <c r="AB1515" i="5"/>
  <c r="S1525" i="5"/>
  <c r="AB1577" i="5"/>
  <c r="AB1733" i="5"/>
  <c r="S1733" i="5"/>
  <c r="AB1597" i="5"/>
  <c r="S1612" i="5"/>
  <c r="S1655" i="5"/>
  <c r="S1687" i="5"/>
  <c r="AB1782" i="5"/>
  <c r="AB1801" i="5"/>
  <c r="AB1360" i="5"/>
  <c r="F1371" i="5"/>
  <c r="S1481" i="5"/>
  <c r="H1491" i="5"/>
  <c r="H1508" i="5"/>
  <c r="S1523" i="5"/>
  <c r="S1529" i="5"/>
  <c r="S1652" i="5"/>
  <c r="AB1669" i="5"/>
  <c r="S1740" i="5"/>
  <c r="AB1770" i="5"/>
  <c r="S1805" i="5"/>
  <c r="AB1805" i="5"/>
  <c r="S1237" i="5"/>
  <c r="S1260" i="5"/>
  <c r="S1292" i="5"/>
  <c r="S1303" i="5"/>
  <c r="S1324" i="5"/>
  <c r="S1335" i="5"/>
  <c r="S1338" i="5"/>
  <c r="S1342" i="5"/>
  <c r="AB1358" i="5"/>
  <c r="S1360" i="5"/>
  <c r="S1396" i="5"/>
  <c r="S1463" i="5"/>
  <c r="AB1470" i="5"/>
  <c r="AB1493" i="5"/>
  <c r="AB1589" i="5"/>
  <c r="AB1635" i="5"/>
  <c r="S1635" i="5"/>
  <c r="AB1664" i="5"/>
  <c r="R1664" i="5"/>
  <c r="S1679" i="5"/>
  <c r="S1708" i="5"/>
  <c r="AB1232" i="5"/>
  <c r="S1267" i="5"/>
  <c r="S1299" i="5"/>
  <c r="S1320" i="5"/>
  <c r="S1331" i="5"/>
  <c r="S1358" i="5"/>
  <c r="S1380" i="5"/>
  <c r="S1423" i="5"/>
  <c r="S1433" i="5"/>
  <c r="S1449" i="5"/>
  <c r="S1459" i="5"/>
  <c r="S1461" i="5"/>
  <c r="AB1495" i="5"/>
  <c r="AB1505" i="5"/>
  <c r="S1509" i="5"/>
  <c r="AB1586" i="5"/>
  <c r="S1604" i="5"/>
  <c r="AB1628" i="5"/>
  <c r="S1647" i="5"/>
  <c r="H1649" i="5"/>
  <c r="F1649" i="5"/>
  <c r="AB1799" i="5"/>
  <c r="S1799" i="5"/>
  <c r="S1282" i="5"/>
  <c r="S1314" i="5"/>
  <c r="AB1361" i="5"/>
  <c r="AB1425" i="5"/>
  <c r="AB1433" i="5"/>
  <c r="S1493" i="5"/>
  <c r="I1495" i="5"/>
  <c r="AB1503" i="5"/>
  <c r="S1503" i="5"/>
  <c r="S1732" i="5"/>
  <c r="AB1754" i="5"/>
  <c r="AB1790" i="5"/>
  <c r="S1790" i="5"/>
  <c r="S1811" i="5"/>
  <c r="AB1542" i="5"/>
  <c r="AB1613" i="5"/>
  <c r="AB1671" i="5"/>
  <c r="AB1673" i="5"/>
  <c r="AB1676" i="5"/>
  <c r="I1709" i="5"/>
  <c r="AB1729" i="5"/>
  <c r="AB1766" i="5"/>
  <c r="AB1807" i="5"/>
  <c r="AB1829" i="5"/>
  <c r="S1829" i="5"/>
  <c r="S1846" i="5"/>
  <c r="AB1926" i="5"/>
  <c r="S1926" i="5"/>
  <c r="S1946" i="5"/>
  <c r="F2043" i="5"/>
  <c r="AB1697" i="5"/>
  <c r="S1753" i="5"/>
  <c r="S1854" i="5"/>
  <c r="S2108" i="5"/>
  <c r="AB1651" i="5"/>
  <c r="AB1668" i="5"/>
  <c r="AB1709" i="5"/>
  <c r="AB1723" i="5"/>
  <c r="AB1895" i="5"/>
  <c r="S1663" i="5"/>
  <c r="S1668" i="5"/>
  <c r="AB1827" i="5"/>
  <c r="S1827" i="5"/>
  <c r="S1858" i="5"/>
  <c r="S1866" i="5"/>
  <c r="S1890" i="5"/>
  <c r="R1949" i="5"/>
  <c r="J1949" i="5"/>
  <c r="I1949" i="5"/>
  <c r="H1949" i="5"/>
  <c r="S1568" i="5"/>
  <c r="S1600" i="5"/>
  <c r="S1631" i="5"/>
  <c r="AB1645" i="5"/>
  <c r="S1651" i="5"/>
  <c r="AB1659" i="5"/>
  <c r="S1680" i="5"/>
  <c r="S1723" i="5"/>
  <c r="S1737" i="5"/>
  <c r="S1739" i="5"/>
  <c r="S1757" i="5"/>
  <c r="AB1758" i="5"/>
  <c r="AB1769" i="5"/>
  <c r="AB1781" i="5"/>
  <c r="S1783" i="5"/>
  <c r="AB1794" i="5"/>
  <c r="S1818" i="5"/>
  <c r="AB1820" i="5"/>
  <c r="S1830" i="5"/>
  <c r="AB1855" i="5"/>
  <c r="R2057" i="5"/>
  <c r="J2057" i="5"/>
  <c r="F2057" i="5"/>
  <c r="I2057" i="5"/>
  <c r="AB1526" i="5"/>
  <c r="S1620" i="5"/>
  <c r="AB1711" i="5"/>
  <c r="S1731" i="5"/>
  <c r="S1755" i="5"/>
  <c r="S1771" i="5"/>
  <c r="S1787" i="5"/>
  <c r="AB1795" i="5"/>
  <c r="AB1798" i="5"/>
  <c r="S1810" i="5"/>
  <c r="S1847" i="5"/>
  <c r="AB1859" i="5"/>
  <c r="S1882" i="5"/>
  <c r="S1895" i="5"/>
  <c r="AB1901" i="5"/>
  <c r="AB1935" i="5"/>
  <c r="S1935" i="5"/>
  <c r="S1978" i="5"/>
  <c r="H2036" i="5"/>
  <c r="S1832" i="5"/>
  <c r="S1983" i="5"/>
  <c r="AB1994" i="5"/>
  <c r="AB1998" i="5"/>
  <c r="S1998" i="5"/>
  <c r="AB2081" i="5"/>
  <c r="S2088" i="5"/>
  <c r="S2096" i="5"/>
  <c r="S2242" i="5"/>
  <c r="S1851" i="5"/>
  <c r="AB1971" i="5"/>
  <c r="F2024" i="5"/>
  <c r="F2031" i="5"/>
  <c r="AB2091" i="5"/>
  <c r="AB2106" i="5"/>
  <c r="AB2111" i="5"/>
  <c r="S2111" i="5"/>
  <c r="S2050" i="5"/>
  <c r="AB1979" i="5"/>
  <c r="S1995" i="5"/>
  <c r="S2002" i="5"/>
  <c r="S2023" i="5"/>
  <c r="I2129" i="5"/>
  <c r="H2129" i="5"/>
  <c r="S2234" i="5"/>
  <c r="AB1842" i="5"/>
  <c r="S1879" i="5"/>
  <c r="AB1887" i="5"/>
  <c r="AB1899" i="5"/>
  <c r="S1966" i="5"/>
  <c r="S1971" i="5"/>
  <c r="S1991" i="5"/>
  <c r="AB2000" i="5"/>
  <c r="S2078" i="5"/>
  <c r="S2177" i="5"/>
  <c r="S1875" i="5"/>
  <c r="AB1877" i="5"/>
  <c r="H1890" i="5"/>
  <c r="S1934" i="5"/>
  <c r="AB2003" i="5"/>
  <c r="S2003" i="5"/>
  <c r="S2007" i="5"/>
  <c r="S2027" i="5"/>
  <c r="S2030" i="5"/>
  <c r="H2048" i="5"/>
  <c r="F2048" i="5"/>
  <c r="AB2078" i="5"/>
  <c r="AB2084" i="5"/>
  <c r="AB2100" i="5"/>
  <c r="R2130" i="5"/>
  <c r="S2151" i="5"/>
  <c r="AB2165" i="5"/>
  <c r="S2244" i="5"/>
  <c r="AB1834" i="5"/>
  <c r="AB1838" i="5"/>
  <c r="AB1954" i="5"/>
  <c r="AB1958" i="5"/>
  <c r="S1959" i="5"/>
  <c r="AB1967" i="5"/>
  <c r="S1999" i="5"/>
  <c r="AB2043" i="5"/>
  <c r="R2118" i="5"/>
  <c r="AB2154" i="5"/>
  <c r="S2169" i="5"/>
  <c r="AB2011" i="5"/>
  <c r="AB2018" i="5"/>
  <c r="AB2105" i="5"/>
  <c r="AB2108" i="5"/>
  <c r="AB2129" i="5"/>
  <c r="S2160" i="5"/>
  <c r="J2126" i="5"/>
  <c r="AB2156" i="5"/>
  <c r="S2156" i="5"/>
  <c r="S2124" i="5"/>
  <c r="S2281" i="5"/>
  <c r="S2448" i="5"/>
  <c r="S2011" i="5"/>
  <c r="AB2024" i="5"/>
  <c r="S2346" i="5"/>
  <c r="AB2346" i="5"/>
  <c r="AB2055" i="5"/>
  <c r="AB2070" i="5"/>
  <c r="AB2117" i="5"/>
  <c r="AB2153" i="5"/>
  <c r="R2162" i="5"/>
  <c r="H2162" i="5"/>
  <c r="S2228" i="5"/>
  <c r="S2272" i="5"/>
  <c r="S2279" i="5"/>
  <c r="AB2237" i="5"/>
  <c r="H2261" i="5"/>
  <c r="AB2287" i="5"/>
  <c r="AB2305" i="5"/>
  <c r="AB2309" i="5"/>
  <c r="R2393" i="5"/>
  <c r="F2393" i="5"/>
  <c r="J2393" i="5"/>
  <c r="I2393" i="5"/>
  <c r="S2491" i="5"/>
  <c r="AB2130" i="5"/>
  <c r="S2194" i="5"/>
  <c r="S2202" i="5"/>
  <c r="S2210" i="5"/>
  <c r="R2261" i="5"/>
  <c r="AB2264" i="5"/>
  <c r="AB2294" i="5"/>
  <c r="S2307" i="5"/>
  <c r="AB2218" i="5"/>
  <c r="J2355" i="5"/>
  <c r="AB2438" i="5"/>
  <c r="S2438" i="5"/>
  <c r="H2443" i="5"/>
  <c r="J2443" i="5"/>
  <c r="I2150" i="5"/>
  <c r="S2180" i="5"/>
  <c r="S2183" i="5"/>
  <c r="S2187" i="5"/>
  <c r="AB2221" i="5"/>
  <c r="S2226" i="5"/>
  <c r="AB2307" i="5"/>
  <c r="AB2213" i="5"/>
  <c r="AB2216" i="5"/>
  <c r="S2270" i="5"/>
  <c r="F2309" i="5"/>
  <c r="S2315" i="5"/>
  <c r="AB2345" i="5"/>
  <c r="J2359" i="5"/>
  <c r="H2429" i="5"/>
  <c r="S2128" i="5"/>
  <c r="AB2184" i="5"/>
  <c r="AB2192" i="5"/>
  <c r="AB2240" i="5"/>
  <c r="AB2249" i="5"/>
  <c r="AB2274" i="5"/>
  <c r="S2280" i="5"/>
  <c r="S2283" i="5"/>
  <c r="AB2288" i="5"/>
  <c r="S2294" i="5"/>
  <c r="S2300" i="5"/>
  <c r="AB2306" i="5"/>
  <c r="S2309" i="5"/>
  <c r="S2338" i="5"/>
  <c r="AB2410" i="5"/>
  <c r="F2429" i="5"/>
  <c r="AB2180" i="5"/>
  <c r="AB2268" i="5"/>
  <c r="S2345" i="5"/>
  <c r="S2381" i="5"/>
  <c r="S2424" i="5"/>
  <c r="AB2442" i="5"/>
  <c r="S2442" i="5"/>
  <c r="I2382" i="5"/>
  <c r="AB2489" i="5"/>
  <c r="AB2360" i="5"/>
  <c r="J2382" i="5"/>
  <c r="S2400" i="5"/>
  <c r="AB2426" i="5"/>
  <c r="J2450" i="5"/>
  <c r="AB2454" i="5"/>
  <c r="AB2330" i="5"/>
  <c r="AB2334" i="5"/>
  <c r="AB2357" i="5"/>
  <c r="R2364" i="5"/>
  <c r="S2395" i="5"/>
  <c r="AB2430" i="5"/>
  <c r="S2439" i="5"/>
  <c r="AB2300" i="5"/>
  <c r="AB2318" i="5"/>
  <c r="S2339" i="5"/>
  <c r="S2350" i="5"/>
  <c r="AB2403" i="5"/>
  <c r="AB2451" i="5"/>
  <c r="AB2462" i="5"/>
  <c r="AB2471" i="5"/>
  <c r="S2474" i="5"/>
  <c r="H2503" i="5"/>
  <c r="AB2386" i="5"/>
  <c r="S2472" i="5"/>
  <c r="AB2354" i="5"/>
  <c r="AB2396" i="5"/>
  <c r="S2403" i="5"/>
  <c r="AB2414" i="5"/>
  <c r="S2456" i="5"/>
  <c r="F19" i="6"/>
  <c r="AB23" i="5"/>
  <c r="AB115" i="5"/>
  <c r="AB179" i="5"/>
  <c r="AB201" i="5"/>
  <c r="AB320" i="5"/>
  <c r="AB412" i="5"/>
  <c r="AB105" i="5"/>
  <c r="AB137" i="5"/>
  <c r="AB147" i="5"/>
  <c r="AB169" i="5"/>
  <c r="AB240" i="5"/>
  <c r="AB20" i="5"/>
  <c r="AB28" i="5"/>
  <c r="AB34" i="5"/>
  <c r="AB38" i="5"/>
  <c r="AB42" i="5"/>
  <c r="AB46" i="5"/>
  <c r="AB50" i="5"/>
  <c r="AB54" i="5"/>
  <c r="AB58" i="5"/>
  <c r="AB62" i="5"/>
  <c r="AB66" i="5"/>
  <c r="AB70" i="5"/>
  <c r="AB74" i="5"/>
  <c r="AB78" i="5"/>
  <c r="AB82" i="5"/>
  <c r="AB86" i="5"/>
  <c r="AB90" i="5"/>
  <c r="AB94" i="5"/>
  <c r="AB98" i="5"/>
  <c r="AB104" i="5"/>
  <c r="AB117" i="5"/>
  <c r="AB127" i="5"/>
  <c r="AB136" i="5"/>
  <c r="AB149" i="5"/>
  <c r="AB159" i="5"/>
  <c r="AB168" i="5"/>
  <c r="AB181" i="5"/>
  <c r="AB191" i="5"/>
  <c r="AB200" i="5"/>
  <c r="AB220" i="5"/>
  <c r="AB244" i="5"/>
  <c r="AB260" i="5"/>
  <c r="AB276" i="5"/>
  <c r="AB292" i="5"/>
  <c r="AB5" i="5"/>
  <c r="AB21" i="5"/>
  <c r="AB29" i="5"/>
  <c r="AB35" i="5"/>
  <c r="AB39" i="5"/>
  <c r="AB43" i="5"/>
  <c r="AB47" i="5"/>
  <c r="AB51" i="5"/>
  <c r="AB55" i="5"/>
  <c r="AB59" i="5"/>
  <c r="AB63" i="5"/>
  <c r="AB67" i="5"/>
  <c r="AB71" i="5"/>
  <c r="AB75" i="5"/>
  <c r="AB79" i="5"/>
  <c r="AB83" i="5"/>
  <c r="AB87" i="5"/>
  <c r="AB91" i="5"/>
  <c r="AB95" i="5"/>
  <c r="AB99" i="5"/>
  <c r="AB107" i="5"/>
  <c r="AB116" i="5"/>
  <c r="AB129" i="5"/>
  <c r="AB139" i="5"/>
  <c r="AB148" i="5"/>
  <c r="AB161" i="5"/>
  <c r="AB171" i="5"/>
  <c r="AB180" i="5"/>
  <c r="AB193" i="5"/>
  <c r="AB203" i="5"/>
  <c r="AB209" i="5"/>
  <c r="AB360" i="5"/>
  <c r="AB119" i="5"/>
  <c r="AB151" i="5"/>
  <c r="AB173" i="5"/>
  <c r="AB183" i="5"/>
  <c r="AB205" i="5"/>
  <c r="AB212" i="5"/>
  <c r="AB248" i="5"/>
  <c r="AB264" i="5"/>
  <c r="AB280" i="5"/>
  <c r="AB296" i="5"/>
  <c r="AB328" i="5"/>
  <c r="AB358" i="5"/>
  <c r="R118" i="5"/>
  <c r="AB121" i="5"/>
  <c r="AB131" i="5"/>
  <c r="AB153" i="5"/>
  <c r="AB163" i="5"/>
  <c r="AB185" i="5"/>
  <c r="AB195" i="5"/>
  <c r="AB224" i="5"/>
  <c r="AB408" i="5"/>
  <c r="AB109" i="5"/>
  <c r="AB141" i="5"/>
  <c r="AB19" i="5"/>
  <c r="AB27" i="5"/>
  <c r="R28" i="5"/>
  <c r="AB36" i="5"/>
  <c r="AB40" i="5"/>
  <c r="AB44" i="5"/>
  <c r="AB48" i="5"/>
  <c r="AB52" i="5"/>
  <c r="AB56" i="5"/>
  <c r="AB60" i="5"/>
  <c r="AB64" i="5"/>
  <c r="AB68" i="5"/>
  <c r="AB72" i="5"/>
  <c r="AB76" i="5"/>
  <c r="AB80" i="5"/>
  <c r="AB84" i="5"/>
  <c r="AB88" i="5"/>
  <c r="AB92" i="5"/>
  <c r="AB96" i="5"/>
  <c r="AB100" i="5"/>
  <c r="AB101" i="5"/>
  <c r="AB111" i="5"/>
  <c r="AB120" i="5"/>
  <c r="AB133" i="5"/>
  <c r="AB143" i="5"/>
  <c r="AB152" i="5"/>
  <c r="AB165" i="5"/>
  <c r="AB175" i="5"/>
  <c r="AB184" i="5"/>
  <c r="AB197" i="5"/>
  <c r="AB208" i="5"/>
  <c r="AB228" i="5"/>
  <c r="AB252" i="5"/>
  <c r="AB268" i="5"/>
  <c r="AB284" i="5"/>
  <c r="AB300" i="5"/>
  <c r="AB303" i="5"/>
  <c r="AB312" i="5"/>
  <c r="AB402" i="5"/>
  <c r="AB31" i="5"/>
  <c r="AB37" i="5"/>
  <c r="AB45" i="5"/>
  <c r="AB53" i="5"/>
  <c r="AB57" i="5"/>
  <c r="AB61" i="5"/>
  <c r="AB65" i="5"/>
  <c r="AB69" i="5"/>
  <c r="AB73" i="5"/>
  <c r="AB81" i="5"/>
  <c r="AB89" i="5"/>
  <c r="AB113" i="5"/>
  <c r="AB123" i="5"/>
  <c r="AB145" i="5"/>
  <c r="AB155" i="5"/>
  <c r="AB177" i="5"/>
  <c r="AB187" i="5"/>
  <c r="AB216" i="5"/>
  <c r="AB232" i="5"/>
  <c r="AB361" i="5"/>
  <c r="AB33" i="5"/>
  <c r="AB41" i="5"/>
  <c r="AB49" i="5"/>
  <c r="AB77" i="5"/>
  <c r="AB85" i="5"/>
  <c r="AB93" i="5"/>
  <c r="AB97" i="5"/>
  <c r="AB103" i="5"/>
  <c r="AB112" i="5"/>
  <c r="AB125" i="5"/>
  <c r="AB135" i="5"/>
  <c r="AB144" i="5"/>
  <c r="AB157" i="5"/>
  <c r="AB167" i="5"/>
  <c r="AB176" i="5"/>
  <c r="AB189" i="5"/>
  <c r="AB199" i="5"/>
  <c r="AB236" i="5"/>
  <c r="AB256" i="5"/>
  <c r="AB272" i="5"/>
  <c r="AB288" i="5"/>
  <c r="AB336" i="5"/>
  <c r="AB350" i="5"/>
  <c r="AB373" i="5"/>
  <c r="AB382" i="5"/>
  <c r="AB385"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AB310" i="5"/>
  <c r="AB318" i="5"/>
  <c r="AB326" i="5"/>
  <c r="AB332" i="5"/>
  <c r="AB343" i="5"/>
  <c r="AB353" i="5"/>
  <c r="AB362" i="5"/>
  <c r="AB375" i="5"/>
  <c r="AB389" i="5"/>
  <c r="AB305" i="5"/>
  <c r="AB313" i="5"/>
  <c r="AB321" i="5"/>
  <c r="AB329" i="5"/>
  <c r="AB342" i="5"/>
  <c r="AB374" i="5"/>
  <c r="AB386" i="5"/>
  <c r="AB393" i="5"/>
  <c r="AB333" i="5"/>
  <c r="AB345" i="5"/>
  <c r="AB354" i="5"/>
  <c r="AB367" i="5"/>
  <c r="AB377" i="5"/>
  <c r="AB390" i="5"/>
  <c r="AB397" i="5"/>
  <c r="AB338" i="5"/>
  <c r="AB366" i="5"/>
  <c r="AB394" i="5"/>
  <c r="AB401" i="5"/>
  <c r="AB416" i="5"/>
  <c r="AB334" i="5"/>
  <c r="AB339" i="5"/>
  <c r="AB346" i="5"/>
  <c r="AB359" i="5"/>
  <c r="AB369" i="5"/>
  <c r="AB378" i="5"/>
  <c r="AB398" i="5"/>
  <c r="AB405" i="5"/>
  <c r="AB409" i="5"/>
  <c r="AB351" i="5"/>
  <c r="AB352" i="5"/>
  <c r="AB370" i="5"/>
  <c r="AB406" i="5"/>
  <c r="AB466" i="5"/>
  <c r="AB474" i="5"/>
  <c r="AB553" i="5"/>
  <c r="AB572" i="5"/>
  <c r="AB582" i="5"/>
  <c r="AB585" i="5"/>
  <c r="AB596" i="5"/>
  <c r="AB597" i="5"/>
  <c r="AB478" i="5"/>
  <c r="AB483" i="5"/>
  <c r="AB494" i="5"/>
  <c r="AB499" i="5"/>
  <c r="AB510" i="5"/>
  <c r="AB515" i="5"/>
  <c r="AB526" i="5"/>
  <c r="AB531" i="5"/>
  <c r="AB542" i="5"/>
  <c r="AB558" i="5"/>
  <c r="AB570" i="5"/>
  <c r="AB573" i="5"/>
  <c r="AB580" i="5"/>
  <c r="AB479" i="5"/>
  <c r="AB484" i="5"/>
  <c r="AB490" i="5"/>
  <c r="AB495" i="5"/>
  <c r="AB500" i="5"/>
  <c r="AB506" i="5"/>
  <c r="AB511" i="5"/>
  <c r="AB516" i="5"/>
  <c r="AB522" i="5"/>
  <c r="AB527" i="5"/>
  <c r="AB532" i="5"/>
  <c r="AB538" i="5"/>
  <c r="AB543" i="5"/>
  <c r="AB548" i="5"/>
  <c r="AB550" i="5"/>
  <c r="AB557" i="5"/>
  <c r="AB568" i="5"/>
  <c r="AB578" i="5"/>
  <c r="AB581" i="5"/>
  <c r="AB562" i="5"/>
  <c r="AB566" i="5"/>
  <c r="AB569" i="5"/>
  <c r="AB588" i="5"/>
  <c r="AB464" i="5"/>
  <c r="AB475" i="5"/>
  <c r="AB480" i="5"/>
  <c r="AB486" i="5"/>
  <c r="AB491" i="5"/>
  <c r="AB496" i="5"/>
  <c r="AB502" i="5"/>
  <c r="AB507" i="5"/>
  <c r="AB512" i="5"/>
  <c r="AB518" i="5"/>
  <c r="AB523" i="5"/>
  <c r="AB528" i="5"/>
  <c r="AB534" i="5"/>
  <c r="AB539" i="5"/>
  <c r="AB544" i="5"/>
  <c r="AB549" i="5"/>
  <c r="AB576" i="5"/>
  <c r="AB586" i="5"/>
  <c r="AB589" i="5"/>
  <c r="AB554" i="5"/>
  <c r="AB561" i="5"/>
  <c r="AB564" i="5"/>
  <c r="AB574" i="5"/>
  <c r="AB577" i="5"/>
  <c r="AB465" i="5"/>
  <c r="AB476" i="5"/>
  <c r="AB482" i="5"/>
  <c r="AB487" i="5"/>
  <c r="AB492" i="5"/>
  <c r="AB498" i="5"/>
  <c r="AB503" i="5"/>
  <c r="AB508" i="5"/>
  <c r="AB514" i="5"/>
  <c r="AB519" i="5"/>
  <c r="AB524" i="5"/>
  <c r="AB530" i="5"/>
  <c r="AB535" i="5"/>
  <c r="AB540" i="5"/>
  <c r="AB546" i="5"/>
  <c r="AB565" i="5"/>
  <c r="AB584" i="5"/>
  <c r="AB592" i="5"/>
  <c r="AB593" i="5"/>
  <c r="AB600" i="5"/>
  <c r="AB604" i="5"/>
  <c r="AB608" i="5"/>
  <c r="AB612" i="5"/>
  <c r="AB616" i="5"/>
  <c r="AB620" i="5"/>
  <c r="AB624" i="5"/>
  <c r="AB628" i="5"/>
  <c r="AB632" i="5"/>
  <c r="AB636" i="5"/>
  <c r="AB640" i="5"/>
  <c r="AB644" i="5"/>
  <c r="AB648" i="5"/>
  <c r="AB652" i="5"/>
  <c r="AB656" i="5"/>
  <c r="AB660" i="5"/>
  <c r="AB664" i="5"/>
  <c r="AB668" i="5"/>
  <c r="AB672" i="5"/>
  <c r="AB676" i="5"/>
  <c r="AB691" i="5"/>
  <c r="AB711" i="5"/>
  <c r="AB727" i="5"/>
  <c r="AB743" i="5"/>
  <c r="AB759" i="5"/>
  <c r="AB681" i="5"/>
  <c r="AB686" i="5"/>
  <c r="AB697" i="5"/>
  <c r="AB702" i="5"/>
  <c r="AB713" i="5"/>
  <c r="AB729" i="5"/>
  <c r="AB745" i="5"/>
  <c r="AB769" i="5"/>
  <c r="AB775" i="5"/>
  <c r="AB785" i="5"/>
  <c r="AB791" i="5"/>
  <c r="AB687" i="5"/>
  <c r="AB703" i="5"/>
  <c r="AB715" i="5"/>
  <c r="AB731" i="5"/>
  <c r="AB747" i="5"/>
  <c r="AB682" i="5"/>
  <c r="AB693" i="5"/>
  <c r="AB698" i="5"/>
  <c r="AB755" i="5"/>
  <c r="AB763" i="5"/>
  <c r="AB773" i="5"/>
  <c r="AB779" i="5"/>
  <c r="AB789" i="5"/>
  <c r="AB683" i="5"/>
  <c r="AB699" i="5"/>
  <c r="AB719" i="5"/>
  <c r="AB735" i="5"/>
  <c r="AB801" i="5"/>
  <c r="AB689" i="5"/>
  <c r="AB694" i="5"/>
  <c r="AB705" i="5"/>
  <c r="AB721" i="5"/>
  <c r="AB737" i="5"/>
  <c r="AB751" i="5"/>
  <c r="AB761" i="5"/>
  <c r="AB767" i="5"/>
  <c r="AB777" i="5"/>
  <c r="AB783" i="5"/>
  <c r="AB793" i="5"/>
  <c r="AB797" i="5"/>
  <c r="AB707" i="5"/>
  <c r="AB723" i="5"/>
  <c r="AB739" i="5"/>
  <c r="AB685" i="5"/>
  <c r="AB690" i="5"/>
  <c r="AB701" i="5"/>
  <c r="AB706" i="5"/>
  <c r="AB765" i="5"/>
  <c r="AB771" i="5"/>
  <c r="AB781" i="5"/>
  <c r="AB787" i="5"/>
  <c r="AB830" i="5"/>
  <c r="AB860" i="5"/>
  <c r="AB861" i="5"/>
  <c r="AB864" i="5"/>
  <c r="AB1093" i="5"/>
  <c r="AB756" i="5"/>
  <c r="AB760" i="5"/>
  <c r="AB764" i="5"/>
  <c r="AB768" i="5"/>
  <c r="AB772" i="5"/>
  <c r="AB776" i="5"/>
  <c r="AB780" i="5"/>
  <c r="AB784" i="5"/>
  <c r="AB788" i="5"/>
  <c r="AB792" i="5"/>
  <c r="AB796" i="5"/>
  <c r="AB800" i="5"/>
  <c r="AB804" i="5"/>
  <c r="AB817" i="5"/>
  <c r="AB868" i="5"/>
  <c r="AB876" i="5"/>
  <c r="AB877" i="5"/>
  <c r="AB880" i="5"/>
  <c r="R899" i="5"/>
  <c r="AB924" i="5"/>
  <c r="AB953" i="5"/>
  <c r="AB1045" i="5"/>
  <c r="AB884" i="5"/>
  <c r="AB892" i="5"/>
  <c r="AB989" i="5"/>
  <c r="AB795" i="5"/>
  <c r="AB799" i="5"/>
  <c r="AB803" i="5"/>
  <c r="AB811" i="5"/>
  <c r="AB814" i="5"/>
  <c r="AB819" i="5"/>
  <c r="AB896" i="5"/>
  <c r="AB912" i="5"/>
  <c r="AB970" i="5"/>
  <c r="AB1077" i="5"/>
  <c r="AB980" i="5"/>
  <c r="AB815" i="5"/>
  <c r="AB821" i="5"/>
  <c r="AB827" i="5"/>
  <c r="AB855" i="5"/>
  <c r="AB897" i="5"/>
  <c r="AB908" i="5"/>
  <c r="AB918" i="5"/>
  <c r="AB1029" i="5"/>
  <c r="AB1109" i="5"/>
  <c r="AB859" i="5"/>
  <c r="AB863" i="5"/>
  <c r="AB871" i="5"/>
  <c r="AB928" i="5"/>
  <c r="AB969" i="5"/>
  <c r="AB1061" i="5"/>
  <c r="AB810" i="5"/>
  <c r="AB816" i="5"/>
  <c r="AB934" i="5"/>
  <c r="AB997" i="5"/>
  <c r="AB1125" i="5"/>
  <c r="AB1153" i="5"/>
  <c r="AB1004" i="5"/>
  <c r="AB1013" i="5"/>
  <c r="AB1020" i="5"/>
  <c r="AB1143" i="5"/>
  <c r="AB1144" i="5"/>
  <c r="S1456" i="5"/>
  <c r="AB965" i="5"/>
  <c r="AB976" i="5"/>
  <c r="I1163" i="5"/>
  <c r="AB1183" i="5"/>
  <c r="S1183" i="5"/>
  <c r="AB1005" i="5"/>
  <c r="AB1021" i="5"/>
  <c r="AB1266" i="5"/>
  <c r="AB857" i="5"/>
  <c r="AB862" i="5"/>
  <c r="AB873" i="5"/>
  <c r="AB878" i="5"/>
  <c r="AB889" i="5"/>
  <c r="AB894" i="5"/>
  <c r="AB905" i="5"/>
  <c r="AB910" i="5"/>
  <c r="AB921" i="5"/>
  <c r="AB926" i="5"/>
  <c r="AB961" i="5"/>
  <c r="AB981" i="5"/>
  <c r="AB996" i="5"/>
  <c r="J1172" i="5"/>
  <c r="R1172" i="5"/>
  <c r="H1172" i="5"/>
  <c r="F1172" i="5"/>
  <c r="H1227" i="5"/>
  <c r="F1227" i="5"/>
  <c r="AB1036" i="5"/>
  <c r="AB1052" i="5"/>
  <c r="AB1068" i="5"/>
  <c r="AB1084" i="5"/>
  <c r="AB1100" i="5"/>
  <c r="AB1116" i="5"/>
  <c r="AB1136" i="5"/>
  <c r="AB1258" i="5"/>
  <c r="S1418" i="5"/>
  <c r="AB1418" i="5"/>
  <c r="AB901" i="5"/>
  <c r="AB906" i="5"/>
  <c r="AB917" i="5"/>
  <c r="AB922" i="5"/>
  <c r="AB957" i="5"/>
  <c r="AB988" i="5"/>
  <c r="AB1012" i="5"/>
  <c r="AB1200"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J1184" i="5"/>
  <c r="H1184" i="5"/>
  <c r="S1240" i="5"/>
  <c r="I1383" i="5"/>
  <c r="R1383" i="5"/>
  <c r="F1383" i="5"/>
  <c r="S1468" i="5"/>
  <c r="AB1270" i="5"/>
  <c r="AB1274" i="5"/>
  <c r="AB1282" i="5"/>
  <c r="AB1290" i="5"/>
  <c r="AB1298" i="5"/>
  <c r="AB1302" i="5"/>
  <c r="AB1306" i="5"/>
  <c r="AB1314" i="5"/>
  <c r="AB1326" i="5"/>
  <c r="AB1330" i="5"/>
  <c r="AB1334" i="5"/>
  <c r="AB1350" i="5"/>
  <c r="R1361" i="5"/>
  <c r="R1373" i="5"/>
  <c r="AB1400" i="5"/>
  <c r="S1400" i="5"/>
  <c r="S1416" i="5"/>
  <c r="I1502" i="5"/>
  <c r="H1502" i="5"/>
  <c r="R1502" i="5"/>
  <c r="F1502" i="5"/>
  <c r="AB1137" i="5"/>
  <c r="AB1158" i="5"/>
  <c r="AB1182" i="5"/>
  <c r="S1194" i="5"/>
  <c r="F1200" i="5"/>
  <c r="AB1208" i="5"/>
  <c r="S1208" i="5"/>
  <c r="S1222" i="5"/>
  <c r="AB1244" i="5"/>
  <c r="S1413" i="5"/>
  <c r="AB933" i="5"/>
  <c r="AB938" i="5"/>
  <c r="AB949" i="5"/>
  <c r="AB973" i="5"/>
  <c r="AB977" i="5"/>
  <c r="AB984" i="5"/>
  <c r="AB993" i="5"/>
  <c r="AB1000" i="5"/>
  <c r="AB1009" i="5"/>
  <c r="AB1016" i="5"/>
  <c r="AB1025" i="5"/>
  <c r="AB1032" i="5"/>
  <c r="AB1041" i="5"/>
  <c r="AB1048" i="5"/>
  <c r="AB1057" i="5"/>
  <c r="AB1064" i="5"/>
  <c r="AB1073" i="5"/>
  <c r="AB1080" i="5"/>
  <c r="AB1089" i="5"/>
  <c r="AB1096" i="5"/>
  <c r="AB1105" i="5"/>
  <c r="AB1112" i="5"/>
  <c r="AB1121" i="5"/>
  <c r="AB1128" i="5"/>
  <c r="I1208" i="5"/>
  <c r="F1208" i="5"/>
  <c r="I1248" i="5"/>
  <c r="AB1150" i="5"/>
  <c r="AB1156" i="5"/>
  <c r="H1232" i="5"/>
  <c r="F1232" i="5"/>
  <c r="R1280" i="5"/>
  <c r="J1280" i="5"/>
  <c r="I1280" i="5"/>
  <c r="F1280" i="5"/>
  <c r="R1328" i="5"/>
  <c r="J1328" i="5"/>
  <c r="AB1368" i="5"/>
  <c r="AB1384" i="5"/>
  <c r="AB1388" i="5"/>
  <c r="S1494" i="5"/>
  <c r="AB1494" i="5"/>
  <c r="AB1028" i="5"/>
  <c r="AB1037" i="5"/>
  <c r="AB1044" i="5"/>
  <c r="AB1053" i="5"/>
  <c r="AB1060" i="5"/>
  <c r="AB1069" i="5"/>
  <c r="AB1076" i="5"/>
  <c r="AB1085" i="5"/>
  <c r="AB1092" i="5"/>
  <c r="AB1101" i="5"/>
  <c r="AB1108" i="5"/>
  <c r="AB1117" i="5"/>
  <c r="AB1124" i="5"/>
  <c r="AB1139" i="5"/>
  <c r="AB1141" i="5"/>
  <c r="AB1148" i="5"/>
  <c r="AB1215" i="5"/>
  <c r="S1215" i="5"/>
  <c r="AB1251" i="5"/>
  <c r="S1251" i="5"/>
  <c r="AB1134" i="5"/>
  <c r="AB1155" i="5"/>
  <c r="S1162" i="5"/>
  <c r="S1176" i="5"/>
  <c r="AB1190" i="5"/>
  <c r="S1190" i="5"/>
  <c r="AB1214" i="5"/>
  <c r="S1219" i="5"/>
  <c r="S1226" i="5"/>
  <c r="S1247" i="5"/>
  <c r="S1357" i="5"/>
  <c r="I1363" i="5"/>
  <c r="AB1387" i="5"/>
  <c r="S1402" i="5"/>
  <c r="H1424" i="5"/>
  <c r="R1424" i="5"/>
  <c r="I1424" i="5"/>
  <c r="J1478" i="5"/>
  <c r="I1478" i="5"/>
  <c r="F1478" i="5"/>
  <c r="R1478" i="5"/>
  <c r="J1518" i="5"/>
  <c r="I1518" i="5"/>
  <c r="H1518" i="5"/>
  <c r="AB1520" i="5"/>
  <c r="S1520" i="5"/>
  <c r="AB1135" i="5"/>
  <c r="AB1142" i="5"/>
  <c r="AB1151" i="5"/>
  <c r="AB1160" i="5"/>
  <c r="AB1163" i="5"/>
  <c r="F1182" i="5"/>
  <c r="F1214" i="5"/>
  <c r="I1218" i="5"/>
  <c r="AB1227" i="5"/>
  <c r="AB1246" i="5"/>
  <c r="I1250" i="5"/>
  <c r="AB1255" i="5"/>
  <c r="AB1259" i="5"/>
  <c r="AB1263" i="5"/>
  <c r="AB1267" i="5"/>
  <c r="AB1271" i="5"/>
  <c r="AB1275" i="5"/>
  <c r="AB1283" i="5"/>
  <c r="AB1287" i="5"/>
  <c r="AB1299" i="5"/>
  <c r="H1301" i="5"/>
  <c r="AB1311" i="5"/>
  <c r="AB1315" i="5"/>
  <c r="AB1319" i="5"/>
  <c r="AB1323" i="5"/>
  <c r="AB1327" i="5"/>
  <c r="S1377" i="5"/>
  <c r="H1387" i="5"/>
  <c r="H1410" i="5"/>
  <c r="F1410" i="5"/>
  <c r="AB1484" i="5"/>
  <c r="S1191" i="5"/>
  <c r="S1198" i="5"/>
  <c r="AB1203" i="5"/>
  <c r="H1214" i="5"/>
  <c r="S1216" i="5"/>
  <c r="S1230" i="5"/>
  <c r="AB1235" i="5"/>
  <c r="AB1337" i="5"/>
  <c r="AB1339" i="5"/>
  <c r="AB1354" i="5"/>
  <c r="S1373" i="5"/>
  <c r="AB1383" i="5"/>
  <c r="AB1436" i="5"/>
  <c r="S1436" i="5"/>
  <c r="R1446" i="5"/>
  <c r="S1549" i="5"/>
  <c r="AB1178" i="5"/>
  <c r="F1242" i="5"/>
  <c r="AB1242" i="5"/>
  <c r="S1393" i="5"/>
  <c r="S1399" i="5"/>
  <c r="I1418" i="5"/>
  <c r="J1418" i="5"/>
  <c r="H1418" i="5"/>
  <c r="R1418" i="5"/>
  <c r="F1418" i="5"/>
  <c r="AB1428" i="5"/>
  <c r="S1473" i="5"/>
  <c r="S1642" i="5"/>
  <c r="S1192" i="5"/>
  <c r="J1214" i="5"/>
  <c r="I1229" i="5"/>
  <c r="F1230" i="5"/>
  <c r="AB1243" i="5"/>
  <c r="AB1345" i="5"/>
  <c r="AB1347" i="5"/>
  <c r="AB1351" i="5"/>
  <c r="S1371" i="5"/>
  <c r="AB1378" i="5"/>
  <c r="S1420" i="5"/>
  <c r="S1434" i="5"/>
  <c r="AB1532" i="5"/>
  <c r="S1532" i="5"/>
  <c r="F1218" i="5"/>
  <c r="AB1218" i="5"/>
  <c r="AB1231" i="5"/>
  <c r="F1250" i="5"/>
  <c r="AB1250" i="5"/>
  <c r="R1277" i="5"/>
  <c r="R1289" i="5"/>
  <c r="R1301" i="5"/>
  <c r="I1356" i="5"/>
  <c r="AB1357" i="5"/>
  <c r="S1361" i="5"/>
  <c r="AB1370" i="5"/>
  <c r="I1371" i="5"/>
  <c r="H1371" i="5"/>
  <c r="R1371" i="5"/>
  <c r="S1389" i="5"/>
  <c r="F1395" i="5"/>
  <c r="S1426" i="5"/>
  <c r="AB1441" i="5"/>
  <c r="S1441" i="5"/>
  <c r="I1442" i="5"/>
  <c r="S1452" i="5"/>
  <c r="AB1500" i="5"/>
  <c r="S1500" i="5"/>
  <c r="S1504" i="5"/>
  <c r="S1506" i="5"/>
  <c r="AB1506" i="5"/>
  <c r="F1518" i="5"/>
  <c r="J1530" i="5"/>
  <c r="I1530" i="5"/>
  <c r="R1530" i="5"/>
  <c r="H1530" i="5"/>
  <c r="F1530" i="5"/>
  <c r="AB1634" i="5"/>
  <c r="S1634" i="5"/>
  <c r="AB1395" i="5"/>
  <c r="AB1412" i="5"/>
  <c r="S1412" i="5"/>
  <c r="S1458" i="5"/>
  <c r="AB1458" i="5"/>
  <c r="AB1472" i="5"/>
  <c r="S1472" i="5"/>
  <c r="F1475" i="5"/>
  <c r="J1475" i="5"/>
  <c r="S1510" i="5"/>
  <c r="S1522" i="5"/>
  <c r="S1353" i="5"/>
  <c r="S1369" i="5"/>
  <c r="S1432" i="5"/>
  <c r="AB1440" i="5"/>
  <c r="S1440" i="5"/>
  <c r="F1443" i="5"/>
  <c r="R1443" i="5"/>
  <c r="J1443" i="5"/>
  <c r="S1462" i="5"/>
  <c r="S1474" i="5"/>
  <c r="H1475" i="5"/>
  <c r="F1479" i="5"/>
  <c r="H1479" i="5"/>
  <c r="S1488" i="5"/>
  <c r="F1519" i="5"/>
  <c r="R1519" i="5"/>
  <c r="S1341" i="5"/>
  <c r="AB1359" i="5"/>
  <c r="I1402" i="5"/>
  <c r="J1402" i="5"/>
  <c r="H1402" i="5"/>
  <c r="S1408" i="5"/>
  <c r="AB1422" i="5"/>
  <c r="AB1430" i="5"/>
  <c r="S1442" i="5"/>
  <c r="AB1442" i="5"/>
  <c r="AB1469" i="5"/>
  <c r="S1469" i="5"/>
  <c r="S1478" i="5"/>
  <c r="AB1478" i="5"/>
  <c r="S1490" i="5"/>
  <c r="AB1706" i="5"/>
  <c r="S1706" i="5"/>
  <c r="R1830" i="5"/>
  <c r="I1830" i="5"/>
  <c r="S1349" i="5"/>
  <c r="S1365" i="5"/>
  <c r="S1397" i="5"/>
  <c r="S1404" i="5"/>
  <c r="S1446" i="5"/>
  <c r="AB1457" i="5"/>
  <c r="S1457" i="5"/>
  <c r="J1526" i="5"/>
  <c r="S1526" i="5"/>
  <c r="S1559" i="5"/>
  <c r="S1563" i="5"/>
  <c r="S1567" i="5"/>
  <c r="AB1571" i="5"/>
  <c r="S1575" i="5"/>
  <c r="S1579" i="5"/>
  <c r="S1583" i="5"/>
  <c r="AB1587" i="5"/>
  <c r="S1587" i="5"/>
  <c r="S1591" i="5"/>
  <c r="AB1595" i="5"/>
  <c r="S1595" i="5"/>
  <c r="AB1599" i="5"/>
  <c r="S1599" i="5"/>
  <c r="S1603" i="5"/>
  <c r="S1607" i="5"/>
  <c r="S1611" i="5"/>
  <c r="R1431" i="5"/>
  <c r="AB1448" i="5"/>
  <c r="S1482" i="5"/>
  <c r="AB1482" i="5"/>
  <c r="J1490" i="5"/>
  <c r="AB1508" i="5"/>
  <c r="S1514" i="5"/>
  <c r="AB1514" i="5"/>
  <c r="AB1698" i="5"/>
  <c r="S1698" i="5"/>
  <c r="AB2470" i="5"/>
  <c r="J1406" i="5"/>
  <c r="J1430" i="5"/>
  <c r="AB1431" i="5"/>
  <c r="AB1445" i="5"/>
  <c r="H1448" i="5"/>
  <c r="F1467" i="5"/>
  <c r="R1467" i="5"/>
  <c r="AB1477" i="5"/>
  <c r="S1518" i="5"/>
  <c r="AB1518" i="5"/>
  <c r="AB1541" i="5"/>
  <c r="AB1544" i="5"/>
  <c r="AB1556" i="5"/>
  <c r="AB1560" i="5"/>
  <c r="AB1568" i="5"/>
  <c r="AB1572" i="5"/>
  <c r="AB1580" i="5"/>
  <c r="AB1584" i="5"/>
  <c r="AB1592" i="5"/>
  <c r="AB1600" i="5"/>
  <c r="AB1604" i="5"/>
  <c r="AB1608" i="5"/>
  <c r="AB1616" i="5"/>
  <c r="S1666" i="5"/>
  <c r="AB1674" i="5"/>
  <c r="S1674" i="5"/>
  <c r="R1411" i="5"/>
  <c r="F1435" i="5"/>
  <c r="F1455" i="5"/>
  <c r="R1455" i="5"/>
  <c r="AB1464" i="5"/>
  <c r="F1490" i="5"/>
  <c r="F1491" i="5"/>
  <c r="S1498" i="5"/>
  <c r="AB1498" i="5"/>
  <c r="J1506" i="5"/>
  <c r="I1520" i="5"/>
  <c r="H1520" i="5"/>
  <c r="S1530" i="5"/>
  <c r="AB1530" i="5"/>
  <c r="S1554" i="5"/>
  <c r="S1558" i="5"/>
  <c r="S1566" i="5"/>
  <c r="S1570" i="5"/>
  <c r="S1574" i="5"/>
  <c r="S1578" i="5"/>
  <c r="S1582" i="5"/>
  <c r="S1586" i="5"/>
  <c r="S1590" i="5"/>
  <c r="S1594" i="5"/>
  <c r="S1598" i="5"/>
  <c r="S1602" i="5"/>
  <c r="S1606" i="5"/>
  <c r="S1610" i="5"/>
  <c r="S1618" i="5"/>
  <c r="F1766" i="5"/>
  <c r="R1766" i="5"/>
  <c r="I1766" i="5"/>
  <c r="H1766" i="5"/>
  <c r="AB1411" i="5"/>
  <c r="AB1419" i="5"/>
  <c r="AB1427" i="5"/>
  <c r="AB1460" i="5"/>
  <c r="J1466" i="5"/>
  <c r="I1467" i="5"/>
  <c r="F1495" i="5"/>
  <c r="R1495" i="5"/>
  <c r="S1502" i="5"/>
  <c r="AB1502" i="5"/>
  <c r="S1508" i="5"/>
  <c r="S1534" i="5"/>
  <c r="F1538" i="5"/>
  <c r="F1539" i="5"/>
  <c r="S1544" i="5"/>
  <c r="AB1623" i="5"/>
  <c r="AB1670" i="5"/>
  <c r="S1670" i="5"/>
  <c r="R1676" i="5"/>
  <c r="J1676" i="5"/>
  <c r="I1676" i="5"/>
  <c r="H1676" i="5"/>
  <c r="AB1702" i="5"/>
  <c r="S1702" i="5"/>
  <c r="AB1832" i="5"/>
  <c r="S1869" i="5"/>
  <c r="F1597" i="5"/>
  <c r="F1613" i="5"/>
  <c r="S1627" i="5"/>
  <c r="AB1646" i="5"/>
  <c r="S1646" i="5"/>
  <c r="AB1663" i="5"/>
  <c r="S1678" i="5"/>
  <c r="AB1710" i="5"/>
  <c r="S1710" i="5"/>
  <c r="AB1550" i="5"/>
  <c r="H1553" i="5"/>
  <c r="AB1650" i="5"/>
  <c r="S1650" i="5"/>
  <c r="AB1682" i="5"/>
  <c r="S1682" i="5"/>
  <c r="S1714" i="5"/>
  <c r="S1547" i="5"/>
  <c r="I1553" i="5"/>
  <c r="H1589" i="5"/>
  <c r="AB1654" i="5"/>
  <c r="S1654" i="5"/>
  <c r="F1676" i="5"/>
  <c r="AB1686" i="5"/>
  <c r="S1686" i="5"/>
  <c r="AB1718" i="5"/>
  <c r="J1808" i="5"/>
  <c r="I1808" i="5"/>
  <c r="H1808" i="5"/>
  <c r="F1808" i="5"/>
  <c r="AB1858" i="5"/>
  <c r="AB1546" i="5"/>
  <c r="F1551" i="5"/>
  <c r="S1619" i="5"/>
  <c r="S1623" i="5"/>
  <c r="AB1675" i="5"/>
  <c r="S1690" i="5"/>
  <c r="AB1722" i="5"/>
  <c r="S1722" i="5"/>
  <c r="AB1910" i="5"/>
  <c r="S1910" i="5"/>
  <c r="J1553" i="5"/>
  <c r="R1577" i="5"/>
  <c r="R1589" i="5"/>
  <c r="J1589" i="5"/>
  <c r="AB1627" i="5"/>
  <c r="S1630" i="5"/>
  <c r="AB1647" i="5"/>
  <c r="AB1662" i="5"/>
  <c r="S1662" i="5"/>
  <c r="AB1679" i="5"/>
  <c r="AB1694" i="5"/>
  <c r="S1694" i="5"/>
  <c r="AB1726" i="5"/>
  <c r="AB1715" i="5"/>
  <c r="S1873" i="5"/>
  <c r="J1649" i="5"/>
  <c r="J1661" i="5"/>
  <c r="AB1734" i="5"/>
  <c r="AB1736" i="5"/>
  <c r="AB1751" i="5"/>
  <c r="I1752" i="5"/>
  <c r="AB1764" i="5"/>
  <c r="F1778" i="5"/>
  <c r="R1778" i="5"/>
  <c r="J1778" i="5"/>
  <c r="I1778" i="5"/>
  <c r="F1782" i="5"/>
  <c r="R1782" i="5"/>
  <c r="J1782" i="5"/>
  <c r="I1782" i="5"/>
  <c r="J1790" i="5"/>
  <c r="J1798" i="5"/>
  <c r="R1802" i="5"/>
  <c r="J1802" i="5"/>
  <c r="AB1850" i="5"/>
  <c r="S2041" i="5"/>
  <c r="F2113" i="5"/>
  <c r="I2113" i="5"/>
  <c r="R1645" i="5"/>
  <c r="R1649" i="5"/>
  <c r="R1661" i="5"/>
  <c r="R1701" i="5"/>
  <c r="R1709" i="5"/>
  <c r="S1735" i="5"/>
  <c r="I1748" i="5"/>
  <c r="F1758" i="5"/>
  <c r="R1758" i="5"/>
  <c r="I1758" i="5"/>
  <c r="AB1815" i="5"/>
  <c r="AB1818" i="5"/>
  <c r="R1827" i="5"/>
  <c r="AB1902" i="5"/>
  <c r="S1902" i="5"/>
  <c r="S1561" i="5"/>
  <c r="S1565" i="5"/>
  <c r="S1569" i="5"/>
  <c r="S1573" i="5"/>
  <c r="S1577" i="5"/>
  <c r="S1581" i="5"/>
  <c r="S1585" i="5"/>
  <c r="S1589" i="5"/>
  <c r="S1593" i="5"/>
  <c r="S1597" i="5"/>
  <c r="S1601" i="5"/>
  <c r="S1605" i="5"/>
  <c r="S1609" i="5"/>
  <c r="S1613" i="5"/>
  <c r="S1617" i="5"/>
  <c r="S1621" i="5"/>
  <c r="S1629" i="5"/>
  <c r="S1637" i="5"/>
  <c r="S1641" i="5"/>
  <c r="S1645" i="5"/>
  <c r="S1653" i="5"/>
  <c r="S1657" i="5"/>
  <c r="S1661" i="5"/>
  <c r="S1665" i="5"/>
  <c r="S1669" i="5"/>
  <c r="S1673" i="5"/>
  <c r="S1677" i="5"/>
  <c r="S1681" i="5"/>
  <c r="S1685" i="5"/>
  <c r="S1689" i="5"/>
  <c r="S1693" i="5"/>
  <c r="S1701" i="5"/>
  <c r="S1705" i="5"/>
  <c r="S1709" i="5"/>
  <c r="S1713" i="5"/>
  <c r="S1717" i="5"/>
  <c r="S1721" i="5"/>
  <c r="S1725" i="5"/>
  <c r="S1729" i="5"/>
  <c r="AB1748" i="5"/>
  <c r="H1778" i="5"/>
  <c r="H1782" i="5"/>
  <c r="AB1830" i="5"/>
  <c r="AB1886" i="5"/>
  <c r="S1886" i="5"/>
  <c r="S1738" i="5"/>
  <c r="S1746" i="5"/>
  <c r="F1752" i="5"/>
  <c r="H1758" i="5"/>
  <c r="AB1763" i="5"/>
  <c r="S1820" i="5"/>
  <c r="AB2002" i="5"/>
  <c r="AB1776" i="5"/>
  <c r="AB1784" i="5"/>
  <c r="AB1788" i="5"/>
  <c r="AB1796" i="5"/>
  <c r="AB1800" i="5"/>
  <c r="AB1808" i="5"/>
  <c r="S1844" i="5"/>
  <c r="AB1844" i="5"/>
  <c r="S1848" i="5"/>
  <c r="AB1848" i="5"/>
  <c r="S1852" i="5"/>
  <c r="R1911" i="5"/>
  <c r="J1911" i="5"/>
  <c r="I1911" i="5"/>
  <c r="S1734" i="5"/>
  <c r="S1736" i="5"/>
  <c r="AB1755" i="5"/>
  <c r="AB1760" i="5"/>
  <c r="R1781" i="5"/>
  <c r="I1781" i="5"/>
  <c r="R1805" i="5"/>
  <c r="J1805" i="5"/>
  <c r="I1805" i="5"/>
  <c r="H1805" i="5"/>
  <c r="AB1810" i="5"/>
  <c r="AB1839" i="5"/>
  <c r="S1845" i="5"/>
  <c r="AB1849" i="5"/>
  <c r="S1849" i="5"/>
  <c r="AB1894" i="5"/>
  <c r="S1812" i="5"/>
  <c r="S1816" i="5"/>
  <c r="R1863" i="5"/>
  <c r="J1863" i="5"/>
  <c r="I1863" i="5"/>
  <c r="H1863" i="5"/>
  <c r="AB1865" i="5"/>
  <c r="S1865" i="5"/>
  <c r="J1923" i="5"/>
  <c r="H1923" i="5"/>
  <c r="F1923" i="5"/>
  <c r="S1957" i="5"/>
  <c r="J2007" i="5"/>
  <c r="I2007" i="5"/>
  <c r="H2007" i="5"/>
  <c r="F2007" i="5"/>
  <c r="S2138" i="5"/>
  <c r="AB2138" i="5"/>
  <c r="S1840" i="5"/>
  <c r="S1857" i="5"/>
  <c r="AB1922" i="5"/>
  <c r="S1922" i="5"/>
  <c r="AB1950" i="5"/>
  <c r="S1950" i="5"/>
  <c r="AB2009" i="5"/>
  <c r="R2138" i="5"/>
  <c r="J2138" i="5"/>
  <c r="I2138" i="5"/>
  <c r="S1809" i="5"/>
  <c r="S1836" i="5"/>
  <c r="AB1841" i="5"/>
  <c r="AB2021" i="5"/>
  <c r="S2021" i="5"/>
  <c r="R2084" i="5"/>
  <c r="I2084" i="5"/>
  <c r="H2084" i="5"/>
  <c r="F2084" i="5"/>
  <c r="AB1826" i="5"/>
  <c r="AB1854" i="5"/>
  <c r="S1918" i="5"/>
  <c r="I1975" i="5"/>
  <c r="H1975" i="5"/>
  <c r="AB2034" i="5"/>
  <c r="S2083" i="5"/>
  <c r="AB1853" i="5"/>
  <c r="S1853" i="5"/>
  <c r="AB1870" i="5"/>
  <c r="R1887" i="5"/>
  <c r="J1887" i="5"/>
  <c r="S1930" i="5"/>
  <c r="S1977" i="5"/>
  <c r="I2067" i="5"/>
  <c r="H2067" i="5"/>
  <c r="R2067" i="5"/>
  <c r="J2067" i="5"/>
  <c r="F2067" i="5"/>
  <c r="I1840" i="5"/>
  <c r="AB1866" i="5"/>
  <c r="R1903" i="5"/>
  <c r="H1903" i="5"/>
  <c r="J1903" i="5"/>
  <c r="S1914" i="5"/>
  <c r="S1941" i="5"/>
  <c r="S1876" i="5"/>
  <c r="F1878" i="5"/>
  <c r="S1884" i="5"/>
  <c r="I1886" i="5"/>
  <c r="F1886" i="5"/>
  <c r="S1892" i="5"/>
  <c r="S1900" i="5"/>
  <c r="S1933" i="5"/>
  <c r="S1965" i="5"/>
  <c r="I1983" i="5"/>
  <c r="AB1997" i="5"/>
  <c r="AB2010" i="5"/>
  <c r="S2029" i="5"/>
  <c r="AB2042" i="5"/>
  <c r="S1908" i="5"/>
  <c r="S1912" i="5"/>
  <c r="S1916" i="5"/>
  <c r="S1920" i="5"/>
  <c r="S1924" i="5"/>
  <c r="S1945" i="5"/>
  <c r="J1971" i="5"/>
  <c r="I1971" i="5"/>
  <c r="S2017" i="5"/>
  <c r="S2049" i="5"/>
  <c r="R2156" i="5"/>
  <c r="J2156" i="5"/>
  <c r="F2156" i="5"/>
  <c r="I2247" i="5"/>
  <c r="J2251" i="5"/>
  <c r="S1860" i="5"/>
  <c r="S1864" i="5"/>
  <c r="S1868" i="5"/>
  <c r="S1872" i="5"/>
  <c r="AB1889" i="5"/>
  <c r="AB1908" i="5"/>
  <c r="AB1916" i="5"/>
  <c r="S1925" i="5"/>
  <c r="I1927" i="5"/>
  <c r="AB1945" i="5"/>
  <c r="S1973" i="5"/>
  <c r="H1991" i="5"/>
  <c r="S2005" i="5"/>
  <c r="J2023" i="5"/>
  <c r="H2023" i="5"/>
  <c r="S2037" i="5"/>
  <c r="H2079" i="5"/>
  <c r="H1878" i="5"/>
  <c r="H1886" i="5"/>
  <c r="F1889" i="5"/>
  <c r="F1892" i="5"/>
  <c r="AB1892" i="5"/>
  <c r="AB1925" i="5"/>
  <c r="S1937" i="5"/>
  <c r="AB1946" i="5"/>
  <c r="AB1993" i="5"/>
  <c r="AB2006" i="5"/>
  <c r="S2025" i="5"/>
  <c r="AB2038" i="5"/>
  <c r="AB2148" i="5"/>
  <c r="H1873" i="5"/>
  <c r="J1878" i="5"/>
  <c r="I1882" i="5"/>
  <c r="F1882" i="5"/>
  <c r="J1886" i="5"/>
  <c r="H1889" i="5"/>
  <c r="I1890" i="5"/>
  <c r="F1890" i="5"/>
  <c r="I1898" i="5"/>
  <c r="S1949" i="5"/>
  <c r="AB1981" i="5"/>
  <c r="S1981" i="5"/>
  <c r="F1983" i="5"/>
  <c r="S2013" i="5"/>
  <c r="R2031" i="5"/>
  <c r="J2031" i="5"/>
  <c r="H2031" i="5"/>
  <c r="I2056" i="5"/>
  <c r="AB2115" i="5"/>
  <c r="S2115" i="5"/>
  <c r="AB2118" i="5"/>
  <c r="S2118" i="5"/>
  <c r="AB2175" i="5"/>
  <c r="S2175" i="5"/>
  <c r="AB1874" i="5"/>
  <c r="AB1882" i="5"/>
  <c r="R1886" i="5"/>
  <c r="AB1890" i="5"/>
  <c r="AB1909" i="5"/>
  <c r="AB1913" i="5"/>
  <c r="S1929" i="5"/>
  <c r="S1942" i="5"/>
  <c r="AB1949" i="5"/>
  <c r="AB1969" i="5"/>
  <c r="S1969" i="5"/>
  <c r="AB1982" i="5"/>
  <c r="R1987" i="5"/>
  <c r="I1987" i="5"/>
  <c r="H1987" i="5"/>
  <c r="S2001" i="5"/>
  <c r="AB2014" i="5"/>
  <c r="I2019" i="5"/>
  <c r="H2019" i="5"/>
  <c r="AB2033" i="5"/>
  <c r="AB2046" i="5"/>
  <c r="S2062" i="5"/>
  <c r="R2072" i="5"/>
  <c r="J2072" i="5"/>
  <c r="I2072" i="5"/>
  <c r="H2072" i="5"/>
  <c r="R2093" i="5"/>
  <c r="J2093" i="5"/>
  <c r="H2093" i="5"/>
  <c r="F2093" i="5"/>
  <c r="S2142" i="5"/>
  <c r="AB2142" i="5"/>
  <c r="J1976" i="5"/>
  <c r="J2000" i="5"/>
  <c r="J2012" i="5"/>
  <c r="J2024" i="5"/>
  <c r="J2036" i="5"/>
  <c r="J2048" i="5"/>
  <c r="S2055" i="5"/>
  <c r="S2057" i="5"/>
  <c r="S2065" i="5"/>
  <c r="S2071" i="5"/>
  <c r="S2073" i="5"/>
  <c r="AB2079" i="5"/>
  <c r="AB2182" i="5"/>
  <c r="S2182" i="5"/>
  <c r="F2220" i="5"/>
  <c r="R1976" i="5"/>
  <c r="R1988" i="5"/>
  <c r="R2000" i="5"/>
  <c r="R2024" i="5"/>
  <c r="R2036" i="5"/>
  <c r="R2048" i="5"/>
  <c r="F2134" i="5"/>
  <c r="R2134" i="5"/>
  <c r="J2134" i="5"/>
  <c r="I2134" i="5"/>
  <c r="S2295" i="5"/>
  <c r="AB2295" i="5"/>
  <c r="AB2324" i="5"/>
  <c r="S2324" i="5"/>
  <c r="S1932" i="5"/>
  <c r="S1936" i="5"/>
  <c r="S1940" i="5"/>
  <c r="S1944" i="5"/>
  <c r="S1948" i="5"/>
  <c r="S1952" i="5"/>
  <c r="S1960" i="5"/>
  <c r="S1968" i="5"/>
  <c r="S1972" i="5"/>
  <c r="S1976" i="5"/>
  <c r="S1980" i="5"/>
  <c r="S1988" i="5"/>
  <c r="S1992" i="5"/>
  <c r="S1996" i="5"/>
  <c r="S2000" i="5"/>
  <c r="S2008" i="5"/>
  <c r="S2012" i="5"/>
  <c r="S2016" i="5"/>
  <c r="S2020" i="5"/>
  <c r="S2024" i="5"/>
  <c r="S2028" i="5"/>
  <c r="S2032" i="5"/>
  <c r="S2036" i="5"/>
  <c r="S2044" i="5"/>
  <c r="S2048" i="5"/>
  <c r="S2086" i="5"/>
  <c r="S2087" i="5"/>
  <c r="S2094" i="5"/>
  <c r="S2098" i="5"/>
  <c r="S2102" i="5"/>
  <c r="S2106" i="5"/>
  <c r="S2110" i="5"/>
  <c r="AB2114" i="5"/>
  <c r="S2114" i="5"/>
  <c r="AB2143" i="5"/>
  <c r="S2143" i="5"/>
  <c r="S2291" i="5"/>
  <c r="AB2291" i="5"/>
  <c r="AB2086" i="5"/>
  <c r="S2170" i="5"/>
  <c r="AB2170" i="5"/>
  <c r="AB2191" i="5"/>
  <c r="S2191" i="5"/>
  <c r="AB2286" i="5"/>
  <c r="S2286" i="5"/>
  <c r="AB2050" i="5"/>
  <c r="S2053" i="5"/>
  <c r="AB2058" i="5"/>
  <c r="S2061" i="5"/>
  <c r="AB2066" i="5"/>
  <c r="S2069" i="5"/>
  <c r="S2077" i="5"/>
  <c r="S2147" i="5"/>
  <c r="F2170" i="5"/>
  <c r="S2174" i="5"/>
  <c r="AB2174" i="5"/>
  <c r="S2217" i="5"/>
  <c r="AB2059" i="5"/>
  <c r="AB2067" i="5"/>
  <c r="R2153" i="5"/>
  <c r="J2153" i="5"/>
  <c r="I2153" i="5"/>
  <c r="H2153" i="5"/>
  <c r="F2153" i="5"/>
  <c r="S2126" i="5"/>
  <c r="AB2126" i="5"/>
  <c r="R2128" i="5"/>
  <c r="J2162" i="5"/>
  <c r="F2174" i="5"/>
  <c r="AB2178" i="5"/>
  <c r="I2201" i="5"/>
  <c r="R2201" i="5"/>
  <c r="AB2238" i="5"/>
  <c r="R2129" i="5"/>
  <c r="J2129" i="5"/>
  <c r="R2132" i="5"/>
  <c r="J2132" i="5"/>
  <c r="I2132" i="5"/>
  <c r="H2132" i="5"/>
  <c r="S2135" i="5"/>
  <c r="H2142" i="5"/>
  <c r="S2150" i="5"/>
  <c r="S2167" i="5"/>
  <c r="H2174" i="5"/>
  <c r="S2179" i="5"/>
  <c r="R2274" i="5"/>
  <c r="S2299" i="5"/>
  <c r="S2081" i="5"/>
  <c r="S2085" i="5"/>
  <c r="S2089" i="5"/>
  <c r="S2093" i="5"/>
  <c r="S2097" i="5"/>
  <c r="S2101" i="5"/>
  <c r="S2105" i="5"/>
  <c r="S2109" i="5"/>
  <c r="S2117" i="5"/>
  <c r="S2122" i="5"/>
  <c r="AB2132" i="5"/>
  <c r="S2139" i="5"/>
  <c r="H2145" i="5"/>
  <c r="H2146" i="5"/>
  <c r="S2154" i="5"/>
  <c r="J2165" i="5"/>
  <c r="S2171" i="5"/>
  <c r="I2174" i="5"/>
  <c r="AB2190" i="5"/>
  <c r="S2190" i="5"/>
  <c r="S2196" i="5"/>
  <c r="AB2227" i="5"/>
  <c r="S2227" i="5"/>
  <c r="R2311" i="5"/>
  <c r="J2311" i="5"/>
  <c r="H2311" i="5"/>
  <c r="F2311" i="5"/>
  <c r="J2358" i="5"/>
  <c r="H2358" i="5"/>
  <c r="H2118" i="5"/>
  <c r="S2119" i="5"/>
  <c r="S2120" i="5"/>
  <c r="AB2123" i="5"/>
  <c r="AB2124" i="5"/>
  <c r="AB2131" i="5"/>
  <c r="S2158" i="5"/>
  <c r="AB2163" i="5"/>
  <c r="AB2168" i="5"/>
  <c r="J2174" i="5"/>
  <c r="S2193" i="5"/>
  <c r="AB2193" i="5"/>
  <c r="S2204" i="5"/>
  <c r="AB2281" i="5"/>
  <c r="S2312" i="5"/>
  <c r="AB2312" i="5"/>
  <c r="S2130" i="5"/>
  <c r="S2162" i="5"/>
  <c r="AB2172" i="5"/>
  <c r="AB2186" i="5"/>
  <c r="S2186" i="5"/>
  <c r="F2191" i="5"/>
  <c r="J2196" i="5"/>
  <c r="R2196" i="5"/>
  <c r="I2196" i="5"/>
  <c r="H2196" i="5"/>
  <c r="F2196" i="5"/>
  <c r="S2201" i="5"/>
  <c r="AB2201" i="5"/>
  <c r="F2227" i="5"/>
  <c r="AB2255" i="5"/>
  <c r="S2255" i="5"/>
  <c r="AB2259" i="5"/>
  <c r="S2259" i="5"/>
  <c r="AB2266" i="5"/>
  <c r="AB2270" i="5"/>
  <c r="AB2304" i="5"/>
  <c r="AB2120" i="5"/>
  <c r="S2134" i="5"/>
  <c r="AB2139" i="5"/>
  <c r="AB2144" i="5"/>
  <c r="S2166" i="5"/>
  <c r="AB2171" i="5"/>
  <c r="AB2179" i="5"/>
  <c r="F2186" i="5"/>
  <c r="R2203" i="5"/>
  <c r="J2203" i="5"/>
  <c r="I2203" i="5"/>
  <c r="H2204" i="5"/>
  <c r="S2209" i="5"/>
  <c r="AB2209" i="5"/>
  <c r="H2223" i="5"/>
  <c r="J2223" i="5"/>
  <c r="AB2234" i="5"/>
  <c r="R2240" i="5"/>
  <c r="J2240" i="5"/>
  <c r="I2240" i="5"/>
  <c r="F2240" i="5"/>
  <c r="AB2276" i="5"/>
  <c r="S2276" i="5"/>
  <c r="R2285" i="5"/>
  <c r="J2285" i="5"/>
  <c r="I2285" i="5"/>
  <c r="H2285" i="5"/>
  <c r="F2285" i="5"/>
  <c r="J2189" i="5"/>
  <c r="AB2199" i="5"/>
  <c r="AB2207" i="5"/>
  <c r="H2207" i="5"/>
  <c r="AB2215" i="5"/>
  <c r="AB2223" i="5"/>
  <c r="AB2228" i="5"/>
  <c r="AB2251" i="5"/>
  <c r="AB2262" i="5"/>
  <c r="AB2303" i="5"/>
  <c r="S2303" i="5"/>
  <c r="J2354" i="5"/>
  <c r="R2354" i="5"/>
  <c r="I2354" i="5"/>
  <c r="H2354" i="5"/>
  <c r="F2354" i="5"/>
  <c r="S2192" i="5"/>
  <c r="S2200" i="5"/>
  <c r="S2216" i="5"/>
  <c r="S2229" i="5"/>
  <c r="AB2247" i="5"/>
  <c r="AB2258" i="5"/>
  <c r="I2286" i="5"/>
  <c r="F2291" i="5"/>
  <c r="R2291" i="5"/>
  <c r="J2291" i="5"/>
  <c r="I2291" i="5"/>
  <c r="I2312" i="5"/>
  <c r="H2312" i="5"/>
  <c r="R2312" i="5"/>
  <c r="J2312" i="5"/>
  <c r="F2312" i="5"/>
  <c r="J2322" i="5"/>
  <c r="F2207" i="5"/>
  <c r="R2210" i="5"/>
  <c r="I2225" i="5"/>
  <c r="AB2231" i="5"/>
  <c r="AB2243" i="5"/>
  <c r="AB2254" i="5"/>
  <c r="AB2285" i="5"/>
  <c r="H2295" i="5"/>
  <c r="R2299" i="5"/>
  <c r="I2299" i="5"/>
  <c r="S2225" i="5"/>
  <c r="AB2239" i="5"/>
  <c r="AB2250" i="5"/>
  <c r="I2256" i="5"/>
  <c r="H2286" i="5"/>
  <c r="F2286" i="5"/>
  <c r="AB2384" i="5"/>
  <c r="S2384" i="5"/>
  <c r="AB2195" i="5"/>
  <c r="AB2211" i="5"/>
  <c r="S2233" i="5"/>
  <c r="AB2235" i="5"/>
  <c r="AB2246" i="5"/>
  <c r="AB2267" i="5"/>
  <c r="I2280" i="5"/>
  <c r="S2311" i="5"/>
  <c r="AB2263" i="5"/>
  <c r="S2304" i="5"/>
  <c r="I2237" i="5"/>
  <c r="AB2278" i="5"/>
  <c r="H2282" i="5"/>
  <c r="AB2315" i="5"/>
  <c r="AB2320" i="5"/>
  <c r="S2320" i="5"/>
  <c r="J2340" i="5"/>
  <c r="I2340" i="5"/>
  <c r="H2340" i="5"/>
  <c r="AB2323" i="5"/>
  <c r="AB2366" i="5"/>
  <c r="S2366" i="5"/>
  <c r="S2271" i="5"/>
  <c r="S2273" i="5"/>
  <c r="S2284" i="5"/>
  <c r="S2319" i="5"/>
  <c r="AB2348" i="5"/>
  <c r="F2360" i="5"/>
  <c r="R2360" i="5"/>
  <c r="J2360" i="5"/>
  <c r="I2360" i="5"/>
  <c r="H2360" i="5"/>
  <c r="AB2411" i="5"/>
  <c r="S2411" i="5"/>
  <c r="AB2424" i="5"/>
  <c r="S2237" i="5"/>
  <c r="S2241" i="5"/>
  <c r="S2245" i="5"/>
  <c r="S2249" i="5"/>
  <c r="S2257" i="5"/>
  <c r="S2265" i="5"/>
  <c r="R2282" i="5"/>
  <c r="S2287" i="5"/>
  <c r="R2309" i="5"/>
  <c r="I2309" i="5"/>
  <c r="H2309" i="5"/>
  <c r="S2268" i="5"/>
  <c r="S2275" i="5"/>
  <c r="S2282" i="5"/>
  <c r="AB2340" i="5"/>
  <c r="S2340" i="5"/>
  <c r="AB2343" i="5"/>
  <c r="S2383" i="5"/>
  <c r="AB2271" i="5"/>
  <c r="S2316" i="5"/>
  <c r="J2321" i="5"/>
  <c r="I2321" i="5"/>
  <c r="H2321" i="5"/>
  <c r="H2324" i="5"/>
  <c r="S2348" i="5"/>
  <c r="AB2336" i="5"/>
  <c r="AB2347" i="5"/>
  <c r="AB2353" i="5"/>
  <c r="S2359" i="5"/>
  <c r="AB2359" i="5"/>
  <c r="S2364" i="5"/>
  <c r="S2375" i="5"/>
  <c r="AB2375" i="5"/>
  <c r="AB2382" i="5"/>
  <c r="S2382" i="5"/>
  <c r="AB2327" i="5"/>
  <c r="AB2335" i="5"/>
  <c r="AB2352" i="5"/>
  <c r="AB2358" i="5"/>
  <c r="S2358" i="5"/>
  <c r="I2366" i="5"/>
  <c r="S2374" i="5"/>
  <c r="AB2394" i="5"/>
  <c r="S2394" i="5"/>
  <c r="R2400" i="5"/>
  <c r="J2400" i="5"/>
  <c r="I2400" i="5"/>
  <c r="S2367" i="5"/>
  <c r="AB2367" i="5"/>
  <c r="S2372" i="5"/>
  <c r="AB2372" i="5"/>
  <c r="J2379" i="5"/>
  <c r="R2379" i="5"/>
  <c r="I2379" i="5"/>
  <c r="H2379" i="5"/>
  <c r="F2379" i="5"/>
  <c r="AB2399" i="5"/>
  <c r="S2399" i="5"/>
  <c r="AB2369" i="5"/>
  <c r="AB2377" i="5"/>
  <c r="AB2416" i="5"/>
  <c r="R2420" i="5"/>
  <c r="J2420" i="5"/>
  <c r="I2420" i="5"/>
  <c r="H2420" i="5"/>
  <c r="F2420" i="5"/>
  <c r="I2460" i="5"/>
  <c r="AB2490" i="5"/>
  <c r="S2490" i="5"/>
  <c r="S2500" i="5"/>
  <c r="AB2370" i="5"/>
  <c r="AB2378" i="5"/>
  <c r="R2412" i="5"/>
  <c r="J2412" i="5"/>
  <c r="I2412" i="5"/>
  <c r="H2412" i="5"/>
  <c r="J2498" i="5"/>
  <c r="I2498" i="5"/>
  <c r="H2498" i="5"/>
  <c r="S2357" i="5"/>
  <c r="AB2400" i="5"/>
  <c r="AB2351" i="5"/>
  <c r="F2359" i="5"/>
  <c r="F2367" i="5"/>
  <c r="F2375" i="5"/>
  <c r="R2408" i="5"/>
  <c r="J2408" i="5"/>
  <c r="I2408" i="5"/>
  <c r="H2408" i="5"/>
  <c r="F2408" i="5"/>
  <c r="F2412" i="5"/>
  <c r="AB2423" i="5"/>
  <c r="S2423" i="5"/>
  <c r="S2386" i="5"/>
  <c r="S2398" i="5"/>
  <c r="AB2455" i="5"/>
  <c r="R2475" i="5"/>
  <c r="F2475" i="5"/>
  <c r="S2479" i="5"/>
  <c r="AB2479" i="5"/>
  <c r="S2402" i="5"/>
  <c r="AB2407" i="5"/>
  <c r="AB2408" i="5"/>
  <c r="AB2415" i="5"/>
  <c r="AB2444" i="5"/>
  <c r="S2444" i="5"/>
  <c r="AB2468" i="5"/>
  <c r="S2468" i="5"/>
  <c r="S2406" i="5"/>
  <c r="AB2420" i="5"/>
  <c r="AB2427" i="5"/>
  <c r="S2453" i="5"/>
  <c r="AB2453" i="5"/>
  <c r="AB2487" i="5"/>
  <c r="S2487" i="5"/>
  <c r="S2496" i="5"/>
  <c r="F2382" i="5"/>
  <c r="AB2432" i="5"/>
  <c r="H2482" i="5"/>
  <c r="I2482" i="5"/>
  <c r="AB2412" i="5"/>
  <c r="AB2419" i="5"/>
  <c r="R2429" i="5"/>
  <c r="J2429" i="5"/>
  <c r="I2429" i="5"/>
  <c r="S2437" i="5"/>
  <c r="AB2437" i="5"/>
  <c r="AB2485" i="5"/>
  <c r="S2485" i="5"/>
  <c r="S2441" i="5"/>
  <c r="AB2441" i="5"/>
  <c r="S2493" i="5"/>
  <c r="S2414" i="5"/>
  <c r="S2418" i="5"/>
  <c r="S2422" i="5"/>
  <c r="S2426" i="5"/>
  <c r="S2430" i="5"/>
  <c r="F2438" i="5"/>
  <c r="R2438" i="5"/>
  <c r="J2438" i="5"/>
  <c r="H2451" i="5"/>
  <c r="S2497" i="5"/>
  <c r="AB2460" i="5"/>
  <c r="S2501" i="5"/>
  <c r="H6" i="6"/>
  <c r="D6" i="6" s="1"/>
  <c r="S2476" i="5"/>
  <c r="S2486" i="5"/>
  <c r="S2489" i="5"/>
  <c r="F2501" i="5"/>
  <c r="R2501" i="5"/>
  <c r="J2501" i="5"/>
  <c r="I2501" i="5"/>
  <c r="H2501" i="5"/>
  <c r="H2438" i="5"/>
  <c r="R2465" i="5"/>
  <c r="I2465" i="5"/>
  <c r="F2465" i="5"/>
  <c r="J2483" i="5"/>
  <c r="F2483" i="5"/>
  <c r="F2489" i="5"/>
  <c r="H2489" i="5"/>
  <c r="R2489" i="5"/>
  <c r="J2489" i="5"/>
  <c r="H2494" i="5"/>
  <c r="G17" i="6"/>
  <c r="H17" i="6" s="1"/>
  <c r="D17" i="6" s="1"/>
  <c r="S2450" i="5"/>
  <c r="S2503" i="5"/>
  <c r="D9" i="6"/>
  <c r="G15" i="6"/>
  <c r="H15" i="6"/>
  <c r="D15" i="6" s="1"/>
  <c r="B20" i="6"/>
  <c r="B30" i="6" s="1"/>
  <c r="G30" i="6" s="1"/>
  <c r="F25" i="6"/>
  <c r="F50" i="6" s="1"/>
  <c r="AB2447" i="5"/>
  <c r="S2447" i="5"/>
  <c r="F2458" i="5"/>
  <c r="AB2466" i="5"/>
  <c r="F2474" i="5"/>
  <c r="AB2474" i="5"/>
  <c r="S2494" i="5"/>
  <c r="S2498" i="5"/>
  <c r="R2503" i="5"/>
  <c r="J2503" i="5"/>
  <c r="AB2459" i="5"/>
  <c r="AB2491" i="5"/>
  <c r="D4" i="6"/>
  <c r="S2477" i="5"/>
  <c r="AB2482" i="5"/>
  <c r="B21" i="6"/>
  <c r="F26" i="6" s="1"/>
  <c r="G16" i="6"/>
  <c r="H16" i="6"/>
  <c r="D16" i="6" s="1"/>
  <c r="B19" i="6"/>
  <c r="F24" i="6" s="1"/>
  <c r="A38" i="2"/>
  <c r="J4" i="5"/>
  <c r="A55" i="2"/>
  <c r="A73" i="2"/>
  <c r="B9" i="3"/>
  <c r="A20" i="2"/>
  <c r="C20" i="3"/>
  <c r="A75" i="2"/>
  <c r="C25" i="3"/>
  <c r="N4" i="5"/>
  <c r="A43" i="2"/>
  <c r="C3" i="3"/>
  <c r="C19" i="3"/>
  <c r="P4" i="5"/>
  <c r="C4" i="3"/>
  <c r="A12" i="2"/>
  <c r="A29" i="2"/>
  <c r="A46" i="2"/>
  <c r="A63" i="2"/>
  <c r="B5" i="3"/>
  <c r="B13" i="3"/>
  <c r="B21" i="3"/>
  <c r="B9" i="4"/>
  <c r="A5" i="6" s="1"/>
  <c r="G3" i="5"/>
  <c r="H74" i="4"/>
  <c r="A11" i="2"/>
  <c r="A28" i="2"/>
  <c r="A62" i="2"/>
  <c r="C12" i="3"/>
  <c r="C28" i="3"/>
  <c r="B7" i="4"/>
  <c r="J2" i="5"/>
  <c r="A30" i="2"/>
  <c r="A64" i="2"/>
  <c r="C5" i="3"/>
  <c r="C13" i="3"/>
  <c r="C21" i="3"/>
  <c r="C29" i="3"/>
  <c r="B73" i="4"/>
  <c r="B2006" i="7"/>
  <c r="A39" i="2"/>
  <c r="A4" i="2"/>
  <c r="A56" i="2"/>
  <c r="C9" i="3"/>
  <c r="B4" i="4"/>
  <c r="B24" i="4"/>
  <c r="A26" i="2"/>
  <c r="C11" i="3"/>
  <c r="D25" i="4"/>
  <c r="D49" i="4" s="1"/>
  <c r="A17" i="2"/>
  <c r="A34" i="2"/>
  <c r="A52" i="2"/>
  <c r="A70" i="2"/>
  <c r="C7" i="3"/>
  <c r="C23" i="3"/>
  <c r="B15" i="4"/>
  <c r="A7" i="6" s="1"/>
  <c r="F4" i="5"/>
  <c r="A2" i="2"/>
  <c r="A19" i="2"/>
  <c r="A37" i="2"/>
  <c r="A54" i="2"/>
  <c r="A72" i="2"/>
  <c r="C16" i="3"/>
  <c r="D2" i="4"/>
  <c r="H4" i="5"/>
  <c r="J14" i="6"/>
  <c r="J15" i="6"/>
  <c r="J16" i="6"/>
  <c r="J17" i="6"/>
  <c r="J25" i="6"/>
  <c r="I26" i="6"/>
  <c r="J45" i="6"/>
  <c r="I54" i="6"/>
  <c r="J64" i="6"/>
  <c r="J66" i="6"/>
  <c r="I67" i="6"/>
  <c r="A1" i="8"/>
  <c r="I19" i="6"/>
  <c r="J26" i="6"/>
  <c r="I27" i="6"/>
  <c r="J46" i="6"/>
  <c r="J54" i="6"/>
  <c r="I56" i="6"/>
  <c r="L65" i="6"/>
  <c r="J67" i="6"/>
  <c r="I68" i="6"/>
  <c r="I69" i="6"/>
  <c r="A4" i="8"/>
  <c r="A23" i="2"/>
  <c r="A49" i="2"/>
  <c r="B2" i="3"/>
  <c r="B10" i="3"/>
  <c r="B14" i="3"/>
  <c r="B22" i="3"/>
  <c r="B26" i="3"/>
  <c r="B30" i="3"/>
  <c r="I4" i="4"/>
  <c r="B12" i="4"/>
  <c r="A15" i="2"/>
  <c r="A32" i="2"/>
  <c r="A50" i="2"/>
  <c r="A66" i="2"/>
  <c r="C6" i="3"/>
  <c r="C14" i="3"/>
  <c r="C22" i="3"/>
  <c r="B27" i="4"/>
  <c r="A3" i="6"/>
  <c r="I20" i="6"/>
  <c r="J27" i="6"/>
  <c r="I29" i="6"/>
  <c r="I30" i="6"/>
  <c r="I31" i="6"/>
  <c r="I32" i="6"/>
  <c r="J39" i="6"/>
  <c r="I40" i="6"/>
  <c r="J47" i="6"/>
  <c r="J56" i="6"/>
  <c r="L66" i="6"/>
  <c r="J68" i="6"/>
  <c r="B4" i="8"/>
  <c r="A6" i="2"/>
  <c r="A14" i="2"/>
  <c r="A31" i="2"/>
  <c r="A57" i="2"/>
  <c r="B18" i="3"/>
  <c r="A7" i="2"/>
  <c r="A41" i="2"/>
  <c r="C2" i="3"/>
  <c r="C10" i="3"/>
  <c r="C18" i="3"/>
  <c r="C26" i="3"/>
  <c r="B13" i="4"/>
  <c r="B21" i="4"/>
  <c r="L4" i="5"/>
  <c r="A16" i="2"/>
  <c r="A33" i="2"/>
  <c r="A42" i="2"/>
  <c r="A51" i="2"/>
  <c r="A59" i="2"/>
  <c r="A68" i="2"/>
  <c r="B3" i="3"/>
  <c r="B7" i="3"/>
  <c r="B11" i="3"/>
  <c r="B15" i="3"/>
  <c r="B23" i="3"/>
  <c r="B31" i="3"/>
  <c r="B6" i="4"/>
  <c r="B14" i="4"/>
  <c r="B22" i="4"/>
  <c r="A12" i="6" s="1"/>
  <c r="A91" i="4"/>
  <c r="B2" i="5"/>
  <c r="M4" i="5"/>
  <c r="J20" i="6"/>
  <c r="J29" i="6"/>
  <c r="J30" i="6"/>
  <c r="J31" i="6"/>
  <c r="J32" i="6"/>
  <c r="J40" i="6"/>
  <c r="I41" i="6"/>
  <c r="I49" i="6"/>
  <c r="J57" i="6"/>
  <c r="I58" i="6"/>
  <c r="L67" i="6"/>
  <c r="A1" i="7"/>
  <c r="C3" i="6"/>
  <c r="I4" i="6"/>
  <c r="C4" i="6" s="1"/>
  <c r="I5" i="6"/>
  <c r="J21" i="6"/>
  <c r="I22" i="6"/>
  <c r="I34" i="6"/>
  <c r="J41" i="6"/>
  <c r="I42" i="6"/>
  <c r="J49" i="6"/>
  <c r="I50" i="6"/>
  <c r="J58" i="6"/>
  <c r="L68" i="6"/>
  <c r="B5" i="7"/>
  <c r="G4" i="8"/>
  <c r="A1" i="2"/>
  <c r="A10" i="2"/>
  <c r="A18" i="2"/>
  <c r="A27" i="2"/>
  <c r="A35" i="2"/>
  <c r="A44" i="2"/>
  <c r="A53" i="2"/>
  <c r="A61" i="2"/>
  <c r="B4" i="3"/>
  <c r="B8" i="3"/>
  <c r="B12" i="3"/>
  <c r="B16" i="3"/>
  <c r="B20" i="3"/>
  <c r="B24" i="3"/>
  <c r="B28" i="3"/>
  <c r="B32" i="3"/>
  <c r="B8" i="4"/>
  <c r="A4" i="6" s="1"/>
  <c r="B16" i="4"/>
  <c r="A8" i="6" s="1"/>
  <c r="B25" i="4"/>
  <c r="A13" i="6" s="1"/>
  <c r="B47" i="4"/>
  <c r="A32" i="6" s="1"/>
  <c r="B74" i="4"/>
  <c r="A53" i="6" s="1"/>
  <c r="B3" i="5"/>
  <c r="G4" i="5"/>
  <c r="O4" i="5"/>
  <c r="A1" i="6"/>
  <c r="D3" i="6"/>
  <c r="J4" i="6"/>
  <c r="J5" i="6"/>
  <c r="I6" i="6"/>
  <c r="C6" i="6" s="1"/>
  <c r="I7" i="6"/>
  <c r="I8" i="6"/>
  <c r="C8" i="6" s="1"/>
  <c r="I9" i="6"/>
  <c r="C9" i="6" s="1"/>
  <c r="I10" i="6"/>
  <c r="C10" i="6" s="1"/>
  <c r="I11" i="6"/>
  <c r="C11" i="6" s="1"/>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A4" i="5"/>
  <c r="I4" i="5"/>
  <c r="I14" i="6"/>
  <c r="C14" i="6" s="1"/>
  <c r="I15" i="6"/>
  <c r="C15" i="6" s="1"/>
  <c r="I16" i="6"/>
  <c r="I17" i="6"/>
  <c r="J24" i="6"/>
  <c r="I25" i="6"/>
  <c r="J36" i="6"/>
  <c r="I37" i="6"/>
  <c r="J44" i="6"/>
  <c r="I45" i="6"/>
  <c r="J52" i="6"/>
  <c r="J62" i="6"/>
  <c r="I63" i="6"/>
  <c r="I64" i="6"/>
  <c r="J65" i="6"/>
  <c r="I66" i="6"/>
  <c r="B58" i="1"/>
  <c r="F4" i="8"/>
  <c r="H4" i="8"/>
  <c r="I4" i="8"/>
  <c r="C4" i="8"/>
  <c r="R2165" i="5"/>
  <c r="F1577" i="5"/>
  <c r="H1339" i="5"/>
  <c r="J1339" i="5"/>
  <c r="F2189" i="5"/>
  <c r="R1339" i="5"/>
  <c r="H1577" i="5"/>
  <c r="J1577" i="5"/>
  <c r="I1339" i="5"/>
  <c r="F1385" i="5"/>
  <c r="I1385" i="5"/>
  <c r="I1320" i="5"/>
  <c r="J1320" i="5"/>
  <c r="R1320" i="5"/>
  <c r="H1385" i="5"/>
  <c r="J1385" i="5"/>
  <c r="F1320" i="5"/>
  <c r="R852" i="5"/>
  <c r="H1947" i="5"/>
  <c r="I1947" i="5"/>
  <c r="J1947" i="5"/>
  <c r="J1438" i="5"/>
  <c r="R1947" i="5"/>
  <c r="J1426" i="5"/>
  <c r="I2480" i="5"/>
  <c r="J1724" i="5"/>
  <c r="H1434" i="5"/>
  <c r="I1308" i="5"/>
  <c r="J1673" i="5"/>
  <c r="R1308" i="5"/>
  <c r="I1770" i="5"/>
  <c r="R1673" i="5"/>
  <c r="F1526" i="5"/>
  <c r="F1673" i="5"/>
  <c r="J2318" i="5"/>
  <c r="H1464" i="5"/>
  <c r="I1526" i="5"/>
  <c r="H1673" i="5"/>
  <c r="R2318" i="5"/>
  <c r="H2043" i="5"/>
  <c r="H1724" i="5"/>
  <c r="J2480" i="5"/>
  <c r="I1508" i="5"/>
  <c r="H1222" i="5"/>
  <c r="H2480" i="5"/>
  <c r="I1754" i="5"/>
  <c r="R2480" i="5"/>
  <c r="H1253" i="5"/>
  <c r="H1233" i="5"/>
  <c r="R1086" i="5"/>
  <c r="F2480" i="5"/>
  <c r="F1508" i="5"/>
  <c r="F1222" i="5"/>
  <c r="H1426" i="5"/>
  <c r="H1329" i="5"/>
  <c r="R2133" i="5"/>
  <c r="R1285" i="5"/>
  <c r="F1308" i="5"/>
  <c r="J1308" i="5"/>
  <c r="H1652" i="5"/>
  <c r="F2215" i="5"/>
  <c r="I2043" i="5"/>
  <c r="F2012" i="5"/>
  <c r="R2454" i="5"/>
  <c r="J2043" i="5"/>
  <c r="H1688" i="5"/>
  <c r="R2043" i="5"/>
  <c r="J1688" i="5"/>
  <c r="R1688" i="5"/>
  <c r="I1855" i="5"/>
  <c r="H1855" i="5"/>
  <c r="J1855" i="5"/>
  <c r="I2417" i="5"/>
  <c r="R1855" i="5"/>
  <c r="J2417" i="5"/>
  <c r="R1770" i="5"/>
  <c r="R431" i="5"/>
  <c r="H2012" i="5"/>
  <c r="R2417" i="5"/>
  <c r="H2011" i="5"/>
  <c r="I2012" i="5"/>
  <c r="I2011" i="5"/>
  <c r="F1770" i="5"/>
  <c r="H1664" i="5"/>
  <c r="I1494" i="5"/>
  <c r="J2011" i="5"/>
  <c r="I1664" i="5"/>
  <c r="F1494" i="5"/>
  <c r="J1494" i="5"/>
  <c r="R334" i="5"/>
  <c r="J1664" i="5"/>
  <c r="F1193" i="5"/>
  <c r="F1304" i="5"/>
  <c r="R1074" i="5"/>
  <c r="J1527" i="5"/>
  <c r="I1527" i="5"/>
  <c r="H1527" i="5"/>
  <c r="H2180" i="5"/>
  <c r="J1193" i="5"/>
  <c r="H1940" i="5"/>
  <c r="I2180" i="5"/>
  <c r="I1304" i="5"/>
  <c r="J1435" i="5"/>
  <c r="I1435" i="5"/>
  <c r="H1435" i="5"/>
  <c r="J2180" i="5"/>
  <c r="J1304" i="5"/>
  <c r="R2180" i="5"/>
  <c r="R1304" i="5"/>
  <c r="J2465" i="5"/>
  <c r="I2215" i="5"/>
  <c r="H1526" i="5"/>
  <c r="R1526" i="5"/>
  <c r="J2199" i="5"/>
  <c r="R2253" i="5"/>
  <c r="H2253" i="5"/>
  <c r="I2189" i="5"/>
  <c r="H2189" i="5"/>
  <c r="J2213" i="5"/>
  <c r="I2334" i="5"/>
  <c r="J2334" i="5"/>
  <c r="H2334" i="5"/>
  <c r="F2334" i="5"/>
  <c r="F1697" i="5"/>
  <c r="I1697" i="5"/>
  <c r="H1697" i="5"/>
  <c r="F1664" i="5"/>
  <c r="J1508" i="5"/>
  <c r="R1508" i="5"/>
  <c r="I1645" i="5"/>
  <c r="H1645" i="5"/>
  <c r="F1645" i="5"/>
  <c r="F2330" i="5"/>
  <c r="R2225" i="5"/>
  <c r="J2225" i="5"/>
  <c r="H2225" i="5"/>
  <c r="F2225" i="5"/>
  <c r="I2165" i="5"/>
  <c r="H2165" i="5"/>
  <c r="F2165" i="5"/>
  <c r="I2044" i="5"/>
  <c r="H1494" i="5"/>
  <c r="I1426" i="5"/>
  <c r="R1426" i="5"/>
  <c r="F1426" i="5"/>
  <c r="R1193" i="5"/>
  <c r="H1193" i="5"/>
  <c r="I1193" i="5"/>
  <c r="H2417" i="5"/>
  <c r="F2417" i="5"/>
  <c r="F2180" i="5"/>
  <c r="R2237" i="5"/>
  <c r="J2237" i="5"/>
  <c r="H2237" i="5"/>
  <c r="F2237" i="5"/>
  <c r="H2133" i="5"/>
  <c r="I2133" i="5"/>
  <c r="F1253" i="5"/>
  <c r="R365" i="5"/>
  <c r="F1204" i="5"/>
  <c r="R648" i="5"/>
  <c r="F1641" i="5"/>
  <c r="J1754" i="5"/>
  <c r="F2318" i="5"/>
  <c r="I2318" i="5"/>
  <c r="H2318" i="5"/>
  <c r="R1438" i="5"/>
  <c r="J1222" i="5"/>
  <c r="I1222" i="5"/>
  <c r="R1222" i="5"/>
  <c r="J1289" i="5"/>
  <c r="I1289" i="5"/>
  <c r="F1289" i="5"/>
  <c r="R1464" i="5"/>
  <c r="J1464" i="5"/>
  <c r="I1464" i="5"/>
  <c r="F1269" i="5"/>
  <c r="R305" i="5"/>
  <c r="F2357" i="5"/>
  <c r="R2357" i="5"/>
  <c r="J2357" i="5"/>
  <c r="I2357" i="5"/>
  <c r="I1430" i="5"/>
  <c r="H1430" i="5"/>
  <c r="F1430" i="5"/>
  <c r="R1430" i="5"/>
  <c r="R2154" i="5"/>
  <c r="J2154" i="5"/>
  <c r="H2154" i="5"/>
  <c r="J1285" i="5"/>
  <c r="I1285" i="5"/>
  <c r="F1285" i="5"/>
  <c r="I1434" i="5"/>
  <c r="R1434" i="5"/>
  <c r="F1434" i="5"/>
  <c r="R1181" i="5"/>
  <c r="J1181" i="5"/>
  <c r="F1181" i="5"/>
  <c r="H1181" i="5"/>
  <c r="I1181" i="5"/>
  <c r="B39" i="6"/>
  <c r="G39" i="6" s="1"/>
  <c r="G19" i="6"/>
  <c r="H19" i="6" s="1"/>
  <c r="J2504" i="5"/>
  <c r="I2504" i="5"/>
  <c r="H2504" i="5"/>
  <c r="R2504" i="5"/>
  <c r="F2504" i="5"/>
  <c r="F2434" i="5"/>
  <c r="R2434" i="5"/>
  <c r="J2434" i="5"/>
  <c r="I2434" i="5"/>
  <c r="H2434" i="5"/>
  <c r="H2369" i="5"/>
  <c r="F2369" i="5"/>
  <c r="J2369" i="5"/>
  <c r="I2369" i="5"/>
  <c r="R2369" i="5"/>
  <c r="H2383" i="5"/>
  <c r="J2383" i="5"/>
  <c r="R2383" i="5"/>
  <c r="I2383" i="5"/>
  <c r="F2383" i="5"/>
  <c r="F2319" i="5"/>
  <c r="I2319" i="5"/>
  <c r="J2319" i="5"/>
  <c r="H2319" i="5"/>
  <c r="R2319" i="5"/>
  <c r="H2272" i="5"/>
  <c r="F2272" i="5"/>
  <c r="H2258" i="5"/>
  <c r="F2258" i="5"/>
  <c r="R2258" i="5"/>
  <c r="J2258" i="5"/>
  <c r="I2258" i="5"/>
  <c r="R2270" i="5"/>
  <c r="J2270" i="5"/>
  <c r="H2270" i="5"/>
  <c r="R2187" i="5"/>
  <c r="R2155" i="5"/>
  <c r="F2198" i="5"/>
  <c r="R2198" i="5"/>
  <c r="J2198" i="5"/>
  <c r="H2198" i="5"/>
  <c r="J2179" i="5"/>
  <c r="I2179" i="5"/>
  <c r="H2179" i="5"/>
  <c r="F2179" i="5"/>
  <c r="R2179" i="5"/>
  <c r="F2066" i="5"/>
  <c r="R2066" i="5"/>
  <c r="J2066" i="5"/>
  <c r="I2066" i="5"/>
  <c r="H2066" i="5"/>
  <c r="I2063" i="5"/>
  <c r="H2063" i="5"/>
  <c r="F2063" i="5"/>
  <c r="R2063" i="5"/>
  <c r="J2063" i="5"/>
  <c r="J2115" i="5"/>
  <c r="I2115" i="5"/>
  <c r="H2115" i="5"/>
  <c r="F2115" i="5"/>
  <c r="R2115" i="5"/>
  <c r="H1926" i="5"/>
  <c r="F1926" i="5"/>
  <c r="R1926" i="5"/>
  <c r="R1974" i="5"/>
  <c r="J1974" i="5"/>
  <c r="I1974" i="5"/>
  <c r="H1974" i="5"/>
  <c r="F1974" i="5"/>
  <c r="F1852" i="5"/>
  <c r="H1852" i="5"/>
  <c r="R2018" i="5"/>
  <c r="J2018" i="5"/>
  <c r="I2018" i="5"/>
  <c r="H2018" i="5"/>
  <c r="F2018" i="5"/>
  <c r="R1998" i="5"/>
  <c r="J1998" i="5"/>
  <c r="I1998" i="5"/>
  <c r="H1998" i="5"/>
  <c r="F1998" i="5"/>
  <c r="J1978" i="5"/>
  <c r="R2046" i="5"/>
  <c r="J2046" i="5"/>
  <c r="I2046" i="5"/>
  <c r="H2046" i="5"/>
  <c r="F2046" i="5"/>
  <c r="H1783" i="5"/>
  <c r="F1783" i="5"/>
  <c r="R1783" i="5"/>
  <c r="J1783" i="5"/>
  <c r="I1783" i="5"/>
  <c r="H1826" i="5"/>
  <c r="J1826" i="5"/>
  <c r="I1914" i="5"/>
  <c r="R1914" i="5"/>
  <c r="F1550" i="5"/>
  <c r="H1550" i="5"/>
  <c r="R1550" i="5"/>
  <c r="J1550" i="5"/>
  <c r="I1550" i="5"/>
  <c r="I1747" i="5"/>
  <c r="I1671" i="5"/>
  <c r="F1671" i="5"/>
  <c r="F1825" i="5"/>
  <c r="I1615" i="5"/>
  <c r="H1615" i="5"/>
  <c r="F1615" i="5"/>
  <c r="R1615" i="5"/>
  <c r="R1346" i="5"/>
  <c r="I1346" i="5"/>
  <c r="H1346" i="5"/>
  <c r="J1346" i="5"/>
  <c r="F1346" i="5"/>
  <c r="F1394" i="5"/>
  <c r="R1394" i="5"/>
  <c r="I1394" i="5"/>
  <c r="H1394" i="5"/>
  <c r="J1394" i="5"/>
  <c r="J1687" i="5"/>
  <c r="I1687" i="5"/>
  <c r="H1687" i="5"/>
  <c r="F1687" i="5"/>
  <c r="R1517" i="5"/>
  <c r="J1517" i="5"/>
  <c r="H1517" i="5"/>
  <c r="I1517" i="5"/>
  <c r="F1517" i="5"/>
  <c r="I1335" i="5"/>
  <c r="H1335" i="5"/>
  <c r="R1335" i="5"/>
  <c r="J1335" i="5"/>
  <c r="F1335" i="5"/>
  <c r="H1303" i="5"/>
  <c r="R1303" i="5"/>
  <c r="F1303" i="5"/>
  <c r="F1238" i="5"/>
  <c r="R1238" i="5"/>
  <c r="J1238" i="5"/>
  <c r="H1238" i="5"/>
  <c r="I1238" i="5"/>
  <c r="R605" i="5"/>
  <c r="B45" i="6"/>
  <c r="G45" i="6"/>
  <c r="H2439" i="5"/>
  <c r="F2439" i="5"/>
  <c r="R2439" i="5"/>
  <c r="J2439" i="5"/>
  <c r="I2439" i="5"/>
  <c r="F2414" i="5"/>
  <c r="R2414" i="5"/>
  <c r="J2414" i="5"/>
  <c r="I2414" i="5"/>
  <c r="H2414" i="5"/>
  <c r="F2427" i="5"/>
  <c r="R2427" i="5"/>
  <c r="J2378" i="5"/>
  <c r="I2378" i="5"/>
  <c r="J2192" i="5"/>
  <c r="R2192" i="5"/>
  <c r="I2192" i="5"/>
  <c r="H2192" i="5"/>
  <c r="F2192" i="5"/>
  <c r="H2266" i="5"/>
  <c r="F2266" i="5"/>
  <c r="R2266" i="5"/>
  <c r="J2266" i="5"/>
  <c r="I2266" i="5"/>
  <c r="H2114" i="5"/>
  <c r="F2114" i="5"/>
  <c r="J2114" i="5"/>
  <c r="I2151" i="5"/>
  <c r="H2151" i="5"/>
  <c r="F2151" i="5"/>
  <c r="R2151" i="5"/>
  <c r="J2151" i="5"/>
  <c r="H2238" i="5"/>
  <c r="F2238" i="5"/>
  <c r="R2238" i="5"/>
  <c r="J2238" i="5"/>
  <c r="I2238" i="5"/>
  <c r="I2091" i="5"/>
  <c r="H2091" i="5"/>
  <c r="F2091" i="5"/>
  <c r="R2091" i="5"/>
  <c r="J2091" i="5"/>
  <c r="I2055" i="5"/>
  <c r="H2055" i="5"/>
  <c r="F2055" i="5"/>
  <c r="R2055" i="5"/>
  <c r="J2055" i="5"/>
  <c r="F2070" i="5"/>
  <c r="J2070" i="5"/>
  <c r="I2070" i="5"/>
  <c r="H2070" i="5"/>
  <c r="F2062" i="5"/>
  <c r="J2062" i="5"/>
  <c r="I2062" i="5"/>
  <c r="H2062" i="5"/>
  <c r="R2054" i="5"/>
  <c r="J2054" i="5"/>
  <c r="I2054" i="5"/>
  <c r="H2054" i="5"/>
  <c r="I1934" i="5"/>
  <c r="H1934" i="5"/>
  <c r="F1934" i="5"/>
  <c r="J1934" i="5"/>
  <c r="R1934" i="5"/>
  <c r="J2263" i="5"/>
  <c r="H2263" i="5"/>
  <c r="R2263" i="5"/>
  <c r="F2263" i="5"/>
  <c r="R2034" i="5"/>
  <c r="J2034" i="5"/>
  <c r="I2034" i="5"/>
  <c r="H2034" i="5"/>
  <c r="F2034" i="5"/>
  <c r="I2082" i="5"/>
  <c r="J1880" i="5"/>
  <c r="R1880" i="5"/>
  <c r="I1880" i="5"/>
  <c r="H1880" i="5"/>
  <c r="R1745" i="5"/>
  <c r="H1745" i="5"/>
  <c r="F1745" i="5"/>
  <c r="J1745" i="5"/>
  <c r="I1745" i="5"/>
  <c r="I1722" i="5"/>
  <c r="F1722" i="5"/>
  <c r="R1722" i="5"/>
  <c r="I1706" i="5"/>
  <c r="H1706" i="5"/>
  <c r="F1706" i="5"/>
  <c r="R1706" i="5"/>
  <c r="J1706" i="5"/>
  <c r="I1674" i="5"/>
  <c r="J1674" i="5"/>
  <c r="I1658" i="5"/>
  <c r="H1658" i="5"/>
  <c r="F1658" i="5"/>
  <c r="R1658" i="5"/>
  <c r="J1658" i="5"/>
  <c r="H1642" i="5"/>
  <c r="R1642" i="5"/>
  <c r="H1626" i="5"/>
  <c r="F1626" i="5"/>
  <c r="R1626" i="5"/>
  <c r="J1626" i="5"/>
  <c r="I1626" i="5"/>
  <c r="R1610" i="5"/>
  <c r="J1610" i="5"/>
  <c r="I1610" i="5"/>
  <c r="I1594" i="5"/>
  <c r="F1578" i="5"/>
  <c r="R1578" i="5"/>
  <c r="J1578" i="5"/>
  <c r="I1578" i="5"/>
  <c r="H1578" i="5"/>
  <c r="F1562" i="5"/>
  <c r="R1562" i="5"/>
  <c r="J1562" i="5"/>
  <c r="I1562" i="5"/>
  <c r="H1562" i="5"/>
  <c r="I1742" i="5"/>
  <c r="J1742" i="5"/>
  <c r="H1742" i="5"/>
  <c r="F1742" i="5"/>
  <c r="R1742" i="5"/>
  <c r="F1624" i="5"/>
  <c r="R1699" i="5"/>
  <c r="J1699" i="5"/>
  <c r="I1699" i="5"/>
  <c r="H1699" i="5"/>
  <c r="J1548" i="5"/>
  <c r="I1548" i="5"/>
  <c r="I1611" i="5"/>
  <c r="H1611" i="5"/>
  <c r="F1611" i="5"/>
  <c r="R1611" i="5"/>
  <c r="J1611" i="5"/>
  <c r="R1338" i="5"/>
  <c r="H1338" i="5"/>
  <c r="F1338" i="5"/>
  <c r="I1338" i="5"/>
  <c r="J1627" i="5"/>
  <c r="I1627" i="5"/>
  <c r="H1627" i="5"/>
  <c r="F1627" i="5"/>
  <c r="R1627" i="5"/>
  <c r="H1560" i="5"/>
  <c r="F1560" i="5"/>
  <c r="R1044" i="5"/>
  <c r="F1398" i="5"/>
  <c r="R1398" i="5"/>
  <c r="J1398" i="5"/>
  <c r="I1398" i="5"/>
  <c r="H1398" i="5"/>
  <c r="R1368" i="5"/>
  <c r="J1368" i="5"/>
  <c r="H1368" i="5"/>
  <c r="I1368" i="5"/>
  <c r="I1323" i="5"/>
  <c r="H1323" i="5"/>
  <c r="R1323" i="5"/>
  <c r="J1323" i="5"/>
  <c r="F1323" i="5"/>
  <c r="F1350" i="5"/>
  <c r="J1350" i="5"/>
  <c r="H1350" i="5"/>
  <c r="F1330" i="5"/>
  <c r="R1330" i="5"/>
  <c r="J1330" i="5"/>
  <c r="I1330" i="5"/>
  <c r="H1330" i="5"/>
  <c r="F1322" i="5"/>
  <c r="R1322" i="5"/>
  <c r="I1322" i="5"/>
  <c r="H1322" i="5"/>
  <c r="F1306" i="5"/>
  <c r="R1306" i="5"/>
  <c r="J1306" i="5"/>
  <c r="I1306" i="5"/>
  <c r="H1306" i="5"/>
  <c r="F1298" i="5"/>
  <c r="J1298" i="5"/>
  <c r="F1290" i="5"/>
  <c r="R1290" i="5"/>
  <c r="J1290" i="5"/>
  <c r="I1290" i="5"/>
  <c r="H1290" i="5"/>
  <c r="F1274" i="5"/>
  <c r="R1274" i="5"/>
  <c r="J1274" i="5"/>
  <c r="I1274" i="5"/>
  <c r="H1274" i="5"/>
  <c r="H1231" i="5"/>
  <c r="R1231" i="5"/>
  <c r="J1231" i="5"/>
  <c r="F1231" i="5"/>
  <c r="R522" i="5"/>
  <c r="R184" i="5"/>
  <c r="R220" i="5"/>
  <c r="F2422" i="5"/>
  <c r="R2422" i="5"/>
  <c r="I2422" i="5"/>
  <c r="H2422" i="5"/>
  <c r="J2422" i="5"/>
  <c r="R2396" i="5"/>
  <c r="J2396" i="5"/>
  <c r="I2396" i="5"/>
  <c r="F2396" i="5"/>
  <c r="H2396" i="5"/>
  <c r="R2281" i="5"/>
  <c r="I2281" i="5"/>
  <c r="H2281" i="5"/>
  <c r="F2281" i="5"/>
  <c r="J2281" i="5"/>
  <c r="R1958" i="5"/>
  <c r="J1958" i="5"/>
  <c r="I1958" i="5"/>
  <c r="H1958" i="5"/>
  <c r="F1958" i="5"/>
  <c r="J1796" i="5"/>
  <c r="I1796" i="5"/>
  <c r="H1796" i="5"/>
  <c r="F1796" i="5"/>
  <c r="R1796" i="5"/>
  <c r="I1694" i="5"/>
  <c r="H1694" i="5"/>
  <c r="F1694" i="5"/>
  <c r="J1694" i="5"/>
  <c r="R1694" i="5"/>
  <c r="I1646" i="5"/>
  <c r="H1646" i="5"/>
  <c r="F1646" i="5"/>
  <c r="R1646" i="5"/>
  <c r="J1646" i="5"/>
  <c r="F1614" i="5"/>
  <c r="R1614" i="5"/>
  <c r="J1614" i="5"/>
  <c r="I1614" i="5"/>
  <c r="H1614" i="5"/>
  <c r="J1582" i="5"/>
  <c r="H1582" i="5"/>
  <c r="R1659" i="5"/>
  <c r="J1659" i="5"/>
  <c r="I1659" i="5"/>
  <c r="F1659" i="5"/>
  <c r="I1571" i="5"/>
  <c r="H1571" i="5"/>
  <c r="R1571" i="5"/>
  <c r="J1571" i="5"/>
  <c r="I1456" i="5"/>
  <c r="I1532" i="5"/>
  <c r="H1532" i="5"/>
  <c r="F1532" i="5"/>
  <c r="J1532" i="5"/>
  <c r="R1532" i="5"/>
  <c r="H1235" i="5"/>
  <c r="F1235" i="5"/>
  <c r="R1235" i="5"/>
  <c r="J1235" i="5"/>
  <c r="I1235" i="5"/>
  <c r="I1501" i="5"/>
  <c r="F1501" i="5"/>
  <c r="H1386" i="5"/>
  <c r="F1407" i="5"/>
  <c r="R1407" i="5"/>
  <c r="J1407" i="5"/>
  <c r="I1407" i="5"/>
  <c r="H1407" i="5"/>
  <c r="I1299" i="5"/>
  <c r="H1299" i="5"/>
  <c r="R1299" i="5"/>
  <c r="J1299" i="5"/>
  <c r="F1299" i="5"/>
  <c r="I1267" i="5"/>
  <c r="H1267" i="5"/>
  <c r="R1267" i="5"/>
  <c r="J1267" i="5"/>
  <c r="F1267" i="5"/>
  <c r="F1202" i="5"/>
  <c r="J1202" i="5"/>
  <c r="I1202" i="5"/>
  <c r="H1202" i="5"/>
  <c r="R1202" i="5"/>
  <c r="R1128" i="5"/>
  <c r="H1384" i="5"/>
  <c r="H1195" i="5"/>
  <c r="J1195" i="5"/>
  <c r="I1195" i="5"/>
  <c r="F1195" i="5"/>
  <c r="R1195" i="5"/>
  <c r="F2418" i="5"/>
  <c r="R2418" i="5"/>
  <c r="J2418" i="5"/>
  <c r="I2418" i="5"/>
  <c r="H2418" i="5"/>
  <c r="J2468" i="5"/>
  <c r="I2468" i="5"/>
  <c r="R2468" i="5"/>
  <c r="H2468" i="5"/>
  <c r="F2468" i="5"/>
  <c r="I2407" i="5"/>
  <c r="H2407" i="5"/>
  <c r="F2407" i="5"/>
  <c r="J2407" i="5"/>
  <c r="R2407" i="5"/>
  <c r="J2431" i="5"/>
  <c r="R2431" i="5"/>
  <c r="H2347" i="5"/>
  <c r="F2347" i="5"/>
  <c r="R1711" i="5"/>
  <c r="R964" i="5"/>
  <c r="R442" i="5"/>
  <c r="F66" i="6"/>
  <c r="J2491" i="5"/>
  <c r="I2491" i="5"/>
  <c r="H2491" i="5"/>
  <c r="F2491" i="5"/>
  <c r="R2491" i="5"/>
  <c r="I2403" i="5"/>
  <c r="H2403" i="5"/>
  <c r="F2403" i="5"/>
  <c r="R2403" i="5"/>
  <c r="J2403" i="5"/>
  <c r="J2370" i="5"/>
  <c r="H2370" i="5"/>
  <c r="F2370" i="5"/>
  <c r="R2370" i="5"/>
  <c r="I2370" i="5"/>
  <c r="F2470" i="5"/>
  <c r="R2470" i="5"/>
  <c r="J2470" i="5"/>
  <c r="I2470" i="5"/>
  <c r="H2470" i="5"/>
  <c r="F2315" i="5"/>
  <c r="H2315" i="5"/>
  <c r="I2315" i="5"/>
  <c r="J2315" i="5"/>
  <c r="R2424" i="5"/>
  <c r="J2424" i="5"/>
  <c r="I2424" i="5"/>
  <c r="H2424" i="5"/>
  <c r="F2424" i="5"/>
  <c r="I2276" i="5"/>
  <c r="H2276" i="5"/>
  <c r="J2276" i="5"/>
  <c r="H2262" i="5"/>
  <c r="F2262" i="5"/>
  <c r="R2262" i="5"/>
  <c r="J2262" i="5"/>
  <c r="I2262" i="5"/>
  <c r="I2131" i="5"/>
  <c r="H2131" i="5"/>
  <c r="F2131" i="5"/>
  <c r="R2131" i="5"/>
  <c r="J2131" i="5"/>
  <c r="H2119" i="5"/>
  <c r="R2119" i="5"/>
  <c r="J2119" i="5"/>
  <c r="I2119" i="5"/>
  <c r="F2119" i="5"/>
  <c r="R2103" i="5"/>
  <c r="J2103" i="5"/>
  <c r="R2076" i="5"/>
  <c r="J2076" i="5"/>
  <c r="H2076" i="5"/>
  <c r="I2076" i="5"/>
  <c r="R2006" i="5"/>
  <c r="J2006" i="5"/>
  <c r="I2006" i="5"/>
  <c r="H2006" i="5"/>
  <c r="F2006" i="5"/>
  <c r="F1868" i="5"/>
  <c r="R1868" i="5"/>
  <c r="J1868" i="5"/>
  <c r="I1868" i="5"/>
  <c r="H1868" i="5"/>
  <c r="J1986" i="5"/>
  <c r="F1986" i="5"/>
  <c r="I1817" i="5"/>
  <c r="R1817" i="5"/>
  <c r="J1817" i="5"/>
  <c r="H1817" i="5"/>
  <c r="F1817" i="5"/>
  <c r="H1799" i="5"/>
  <c r="F1799" i="5"/>
  <c r="R1799" i="5"/>
  <c r="J1799" i="5"/>
  <c r="I1799" i="5"/>
  <c r="I1950" i="5"/>
  <c r="H1950" i="5"/>
  <c r="F1950" i="5"/>
  <c r="R1950" i="5"/>
  <c r="I1938" i="5"/>
  <c r="H1938" i="5"/>
  <c r="F1938" i="5"/>
  <c r="R1938" i="5"/>
  <c r="J1938" i="5"/>
  <c r="H1755" i="5"/>
  <c r="F1755" i="5"/>
  <c r="R1755" i="5"/>
  <c r="J1755" i="5"/>
  <c r="I1755" i="5"/>
  <c r="F1739" i="5"/>
  <c r="F1744" i="5"/>
  <c r="R1651" i="5"/>
  <c r="J1651" i="5"/>
  <c r="F1651" i="5"/>
  <c r="J1409" i="5"/>
  <c r="I1409" i="5"/>
  <c r="R1409" i="5"/>
  <c r="H1409" i="5"/>
  <c r="F1409" i="5"/>
  <c r="J1421" i="5"/>
  <c r="I1421" i="5"/>
  <c r="H1421" i="5"/>
  <c r="R1421" i="5"/>
  <c r="F1421" i="5"/>
  <c r="I1567" i="5"/>
  <c r="R1719" i="5"/>
  <c r="J1719" i="5"/>
  <c r="I1719" i="5"/>
  <c r="H1719" i="5"/>
  <c r="F1719" i="5"/>
  <c r="F1374" i="5"/>
  <c r="J1374" i="5"/>
  <c r="I1375" i="5"/>
  <c r="I1544" i="5"/>
  <c r="H1544" i="5"/>
  <c r="F1544" i="5"/>
  <c r="R1544" i="5"/>
  <c r="J1544" i="5"/>
  <c r="I1179" i="5"/>
  <c r="J1179" i="5"/>
  <c r="H1436" i="5"/>
  <c r="R1436" i="5"/>
  <c r="F1436" i="5"/>
  <c r="J1436" i="5"/>
  <c r="I1436" i="5"/>
  <c r="I1196" i="5"/>
  <c r="R1196" i="5"/>
  <c r="H1196" i="5"/>
  <c r="I1496" i="5"/>
  <c r="H1496" i="5"/>
  <c r="F1496" i="5"/>
  <c r="R1496" i="5"/>
  <c r="J1496" i="5"/>
  <c r="I1287" i="5"/>
  <c r="H1287" i="5"/>
  <c r="R1287" i="5"/>
  <c r="J1287" i="5"/>
  <c r="F1287" i="5"/>
  <c r="I1255" i="5"/>
  <c r="H1255" i="5"/>
  <c r="R1255" i="5"/>
  <c r="J1255" i="5"/>
  <c r="F1255" i="5"/>
  <c r="R1647" i="5"/>
  <c r="J1647" i="5"/>
  <c r="I1647" i="5"/>
  <c r="H1647" i="5"/>
  <c r="F1647" i="5"/>
  <c r="F1194" i="5"/>
  <c r="R1194" i="5"/>
  <c r="J1194" i="5"/>
  <c r="H1194" i="5"/>
  <c r="F1226" i="5"/>
  <c r="R1226" i="5"/>
  <c r="J1226" i="5"/>
  <c r="I1226" i="5"/>
  <c r="H1226" i="5"/>
  <c r="F1206" i="5"/>
  <c r="R1206" i="5"/>
  <c r="J1206" i="5"/>
  <c r="H1206" i="5"/>
  <c r="I1206" i="5"/>
  <c r="F1266" i="5"/>
  <c r="R473" i="5"/>
  <c r="R256" i="5"/>
  <c r="R232" i="5"/>
  <c r="J2487" i="5"/>
  <c r="I2487" i="5"/>
  <c r="H2487" i="5"/>
  <c r="F2487" i="5"/>
  <c r="J2467" i="5"/>
  <c r="F2467" i="5"/>
  <c r="I2419" i="5"/>
  <c r="R2419" i="5"/>
  <c r="J2419" i="5"/>
  <c r="J2259" i="5"/>
  <c r="I2259" i="5"/>
  <c r="H2259" i="5"/>
  <c r="R2259" i="5"/>
  <c r="F2259" i="5"/>
  <c r="R2226" i="5"/>
  <c r="J2226" i="5"/>
  <c r="R2214" i="5"/>
  <c r="J2214" i="5"/>
  <c r="I2214" i="5"/>
  <c r="H2127" i="5"/>
  <c r="I2102" i="5"/>
  <c r="J2102" i="5"/>
  <c r="R1994" i="5"/>
  <c r="J1994" i="5"/>
  <c r="H1994" i="5"/>
  <c r="F1994" i="5"/>
  <c r="I1865" i="5"/>
  <c r="H1865" i="5"/>
  <c r="F1865" i="5"/>
  <c r="R1865" i="5"/>
  <c r="J1865" i="5"/>
  <c r="R2022" i="5"/>
  <c r="H1779" i="5"/>
  <c r="F1779" i="5"/>
  <c r="R1779" i="5"/>
  <c r="I1779" i="5"/>
  <c r="I1910" i="5"/>
  <c r="H1910" i="5"/>
  <c r="F1910" i="5"/>
  <c r="R1910" i="5"/>
  <c r="J1910" i="5"/>
  <c r="H1804" i="5"/>
  <c r="F1804" i="5"/>
  <c r="J1784" i="5"/>
  <c r="I1784" i="5"/>
  <c r="H1784" i="5"/>
  <c r="F1784" i="5"/>
  <c r="R1784" i="5"/>
  <c r="J1776" i="5"/>
  <c r="I1776" i="5"/>
  <c r="H1776" i="5"/>
  <c r="F1776" i="5"/>
  <c r="R1776" i="5"/>
  <c r="H1710" i="5"/>
  <c r="J1598" i="5"/>
  <c r="F1566" i="5"/>
  <c r="H1566" i="5"/>
  <c r="R1862" i="5"/>
  <c r="J1862" i="5"/>
  <c r="I1603" i="5"/>
  <c r="H1603" i="5"/>
  <c r="F1603" i="5"/>
  <c r="R1603" i="5"/>
  <c r="J1603" i="5"/>
  <c r="H1203" i="5"/>
  <c r="F1203" i="5"/>
  <c r="R1203" i="5"/>
  <c r="J1203" i="5"/>
  <c r="I1203" i="5"/>
  <c r="R1376" i="5"/>
  <c r="J1376" i="5"/>
  <c r="I1376" i="5"/>
  <c r="H1376" i="5"/>
  <c r="F1376" i="5"/>
  <c r="R462" i="5"/>
  <c r="R460" i="5"/>
  <c r="F2463" i="5"/>
  <c r="R2463" i="5"/>
  <c r="J2463" i="5"/>
  <c r="F2323" i="5"/>
  <c r="J2323" i="5"/>
  <c r="R2323" i="5"/>
  <c r="I2323" i="5"/>
  <c r="H2323" i="5"/>
  <c r="I2300" i="5"/>
  <c r="J2300" i="5"/>
  <c r="H2300" i="5"/>
  <c r="F2300" i="5"/>
  <c r="R2300" i="5"/>
  <c r="R2168" i="5"/>
  <c r="J2168" i="5"/>
  <c r="I2168" i="5"/>
  <c r="H2168" i="5"/>
  <c r="F2168" i="5"/>
  <c r="J2060" i="5"/>
  <c r="H2060" i="5"/>
  <c r="F2060" i="5"/>
  <c r="I2060" i="5"/>
  <c r="J2042" i="5"/>
  <c r="H2042" i="5"/>
  <c r="R1727" i="5"/>
  <c r="J1727" i="5"/>
  <c r="I1727" i="5"/>
  <c r="H1727" i="5"/>
  <c r="F1727" i="5"/>
  <c r="I1591" i="5"/>
  <c r="H1591" i="5"/>
  <c r="F1591" i="5"/>
  <c r="R1591" i="5"/>
  <c r="J1591" i="5"/>
  <c r="I1348" i="5"/>
  <c r="H1348" i="5"/>
  <c r="F1370" i="5"/>
  <c r="I1370" i="5"/>
  <c r="H1370" i="5"/>
  <c r="H1400" i="5"/>
  <c r="R1400" i="5"/>
  <c r="I1327" i="5"/>
  <c r="H1327" i="5"/>
  <c r="R1327" i="5"/>
  <c r="J1327" i="5"/>
  <c r="F1327" i="5"/>
  <c r="R1072" i="5"/>
  <c r="J2444" i="5"/>
  <c r="I2444" i="5"/>
  <c r="R2444" i="5"/>
  <c r="J2362" i="5"/>
  <c r="H2362" i="5"/>
  <c r="F2362" i="5"/>
  <c r="R2362" i="5"/>
  <c r="I2362" i="5"/>
  <c r="J2336" i="5"/>
  <c r="I2336" i="5"/>
  <c r="H2336" i="5"/>
  <c r="R2336" i="5"/>
  <c r="F2336" i="5"/>
  <c r="J2208" i="5"/>
  <c r="H2208" i="5"/>
  <c r="F2208" i="5"/>
  <c r="R2298" i="5"/>
  <c r="H2298" i="5"/>
  <c r="F2298" i="5"/>
  <c r="H2234" i="5"/>
  <c r="F2234" i="5"/>
  <c r="R2234" i="5"/>
  <c r="J2234" i="5"/>
  <c r="I2234" i="5"/>
  <c r="H2242" i="5"/>
  <c r="F2242" i="5"/>
  <c r="R2242" i="5"/>
  <c r="J2242" i="5"/>
  <c r="I2242" i="5"/>
  <c r="J2124" i="5"/>
  <c r="I2124" i="5"/>
  <c r="H2124" i="5"/>
  <c r="R2124" i="5"/>
  <c r="F2124" i="5"/>
  <c r="F2094" i="5"/>
  <c r="I2094" i="5"/>
  <c r="H2094" i="5"/>
  <c r="R2094" i="5"/>
  <c r="J2094" i="5"/>
  <c r="J2235" i="5"/>
  <c r="I2235" i="5"/>
  <c r="H2235" i="5"/>
  <c r="R2235" i="5"/>
  <c r="F2235" i="5"/>
  <c r="I2278" i="5"/>
  <c r="H2278" i="5"/>
  <c r="F2278" i="5"/>
  <c r="R2278" i="5"/>
  <c r="I2071" i="5"/>
  <c r="H2071" i="5"/>
  <c r="F2071" i="5"/>
  <c r="R2071" i="5"/>
  <c r="J2071" i="5"/>
  <c r="F2052" i="5"/>
  <c r="I2052" i="5"/>
  <c r="R2030" i="5"/>
  <c r="J2030" i="5"/>
  <c r="I2030" i="5"/>
  <c r="H2030" i="5"/>
  <c r="F2030" i="5"/>
  <c r="R2010" i="5"/>
  <c r="J2010" i="5"/>
  <c r="I2010" i="5"/>
  <c r="I1990" i="5"/>
  <c r="H1990" i="5"/>
  <c r="F1990" i="5"/>
  <c r="R1866" i="5"/>
  <c r="J1866" i="5"/>
  <c r="I1866" i="5"/>
  <c r="H1866" i="5"/>
  <c r="F1866" i="5"/>
  <c r="R1854" i="5"/>
  <c r="J1854" i="5"/>
  <c r="I1854" i="5"/>
  <c r="H1854" i="5"/>
  <c r="F1854" i="5"/>
  <c r="H1795" i="5"/>
  <c r="F1795" i="5"/>
  <c r="R1795" i="5"/>
  <c r="J1795" i="5"/>
  <c r="I1795" i="5"/>
  <c r="R1831" i="5"/>
  <c r="H1831" i="5"/>
  <c r="F1831" i="5"/>
  <c r="J1831" i="5"/>
  <c r="I1831" i="5"/>
  <c r="R1733" i="5"/>
  <c r="H1733" i="5"/>
  <c r="F1733" i="5"/>
  <c r="J1733" i="5"/>
  <c r="I1733" i="5"/>
  <c r="I1686" i="5"/>
  <c r="H1686" i="5"/>
  <c r="F1686" i="5"/>
  <c r="J1686" i="5"/>
  <c r="R1686" i="5"/>
  <c r="J1670" i="5"/>
  <c r="I1654" i="5"/>
  <c r="H1654" i="5"/>
  <c r="F1654" i="5"/>
  <c r="J1654" i="5"/>
  <c r="R1654" i="5"/>
  <c r="I1638" i="5"/>
  <c r="H1638" i="5"/>
  <c r="F1638" i="5"/>
  <c r="R1638" i="5"/>
  <c r="J1638" i="5"/>
  <c r="F1622" i="5"/>
  <c r="R1622" i="5"/>
  <c r="J1622" i="5"/>
  <c r="I1622" i="5"/>
  <c r="H1622" i="5"/>
  <c r="F1590" i="5"/>
  <c r="R1590" i="5"/>
  <c r="J1590" i="5"/>
  <c r="I1590" i="5"/>
  <c r="H1590" i="5"/>
  <c r="R1558" i="5"/>
  <c r="H1759" i="5"/>
  <c r="J1759" i="5"/>
  <c r="I1759" i="5"/>
  <c r="R1839" i="5"/>
  <c r="J1839" i="5"/>
  <c r="I1839" i="5"/>
  <c r="H1839" i="5"/>
  <c r="F1839" i="5"/>
  <c r="H1707" i="5"/>
  <c r="R1635" i="5"/>
  <c r="J1635" i="5"/>
  <c r="I1635" i="5"/>
  <c r="H1635" i="5"/>
  <c r="F1635" i="5"/>
  <c r="R1835" i="5"/>
  <c r="J1835" i="5"/>
  <c r="I1835" i="5"/>
  <c r="H1835" i="5"/>
  <c r="F1835" i="5"/>
  <c r="R1723" i="5"/>
  <c r="J1723" i="5"/>
  <c r="I1723" i="5"/>
  <c r="H1723" i="5"/>
  <c r="F1723" i="5"/>
  <c r="R1832" i="5"/>
  <c r="J1832" i="5"/>
  <c r="I1832" i="5"/>
  <c r="H1832" i="5"/>
  <c r="F1832" i="5"/>
  <c r="I1810" i="5"/>
  <c r="R1810" i="5"/>
  <c r="J1810" i="5"/>
  <c r="H1810" i="5"/>
  <c r="F1810" i="5"/>
  <c r="I1587" i="5"/>
  <c r="H1587" i="5"/>
  <c r="F1587" i="5"/>
  <c r="R1587" i="5"/>
  <c r="J1587" i="5"/>
  <c r="H1555" i="5"/>
  <c r="F1555" i="5"/>
  <c r="R1555" i="5"/>
  <c r="J1555" i="5"/>
  <c r="R1616" i="5"/>
  <c r="F1616" i="5"/>
  <c r="H1460" i="5"/>
  <c r="F1460" i="5"/>
  <c r="J1460" i="5"/>
  <c r="I1460" i="5"/>
  <c r="R1460" i="5"/>
  <c r="H1251" i="5"/>
  <c r="R1251" i="5"/>
  <c r="J1251" i="5"/>
  <c r="I1251" i="5"/>
  <c r="F1251" i="5"/>
  <c r="R1568" i="5"/>
  <c r="J1568" i="5"/>
  <c r="I1568" i="5"/>
  <c r="H1568" i="5"/>
  <c r="F1568" i="5"/>
  <c r="I1484" i="5"/>
  <c r="H1484" i="5"/>
  <c r="F1484" i="5"/>
  <c r="J1484" i="5"/>
  <c r="R1484" i="5"/>
  <c r="R976" i="5"/>
  <c r="R928" i="5"/>
  <c r="R1097" i="5"/>
  <c r="R833" i="5"/>
  <c r="R647" i="5"/>
  <c r="R354" i="5"/>
  <c r="R316" i="5"/>
  <c r="R100" i="5"/>
  <c r="H2143" i="5"/>
  <c r="F2143" i="5"/>
  <c r="R1951" i="5"/>
  <c r="J1951" i="5"/>
  <c r="I1951" i="5"/>
  <c r="H1951" i="5"/>
  <c r="F1951" i="5"/>
  <c r="F1809" i="5"/>
  <c r="I1809" i="5"/>
  <c r="H1809" i="5"/>
  <c r="H1807" i="5"/>
  <c r="F1807" i="5"/>
  <c r="R1807" i="5"/>
  <c r="J1807" i="5"/>
  <c r="I1807" i="5"/>
  <c r="I1736" i="5"/>
  <c r="R1736" i="5"/>
  <c r="J1736" i="5"/>
  <c r="H1736" i="5"/>
  <c r="F1736" i="5"/>
  <c r="I1623" i="5"/>
  <c r="H1623" i="5"/>
  <c r="F1623" i="5"/>
  <c r="R1623" i="5"/>
  <c r="J1623" i="5"/>
  <c r="F1354" i="5"/>
  <c r="R1354" i="5"/>
  <c r="I1354" i="5"/>
  <c r="H1354" i="5"/>
  <c r="J1354" i="5"/>
  <c r="I1183" i="5"/>
  <c r="F1183" i="5"/>
  <c r="I1263" i="5"/>
  <c r="H1263" i="5"/>
  <c r="R1263" i="5"/>
  <c r="J1263" i="5"/>
  <c r="F1263" i="5"/>
  <c r="F1254" i="5"/>
  <c r="R1254" i="5"/>
  <c r="J1254" i="5"/>
  <c r="I1254" i="5"/>
  <c r="H1254" i="5"/>
  <c r="H1167" i="5"/>
  <c r="R1167" i="5"/>
  <c r="J1167" i="5"/>
  <c r="F1167" i="5"/>
  <c r="I1167" i="5"/>
  <c r="H2486" i="5"/>
  <c r="I2486" i="5"/>
  <c r="F2486" i="5"/>
  <c r="R2486" i="5"/>
  <c r="J2486" i="5"/>
  <c r="F2402" i="5"/>
  <c r="H2478" i="5"/>
  <c r="I2478" i="5"/>
  <c r="F2478" i="5"/>
  <c r="R2478" i="5"/>
  <c r="J2478" i="5"/>
  <c r="H2490" i="5"/>
  <c r="F2490" i="5"/>
  <c r="I2490" i="5"/>
  <c r="H2343" i="5"/>
  <c r="F2343" i="5"/>
  <c r="R2343" i="5"/>
  <c r="J2343" i="5"/>
  <c r="I2343" i="5"/>
  <c r="H2335" i="5"/>
  <c r="F2335" i="5"/>
  <c r="R2335" i="5"/>
  <c r="I2335" i="5"/>
  <c r="J2335" i="5"/>
  <c r="R2283" i="5"/>
  <c r="R2250" i="5"/>
  <c r="I2250" i="5"/>
  <c r="F2058" i="5"/>
  <c r="H2058" i="5"/>
  <c r="R2211" i="5"/>
  <c r="J2211" i="5"/>
  <c r="I2211" i="5"/>
  <c r="R2175" i="5"/>
  <c r="J2175" i="5"/>
  <c r="I1946" i="5"/>
  <c r="H1946" i="5"/>
  <c r="F1946" i="5"/>
  <c r="R1946" i="5"/>
  <c r="J1946" i="5"/>
  <c r="I1853" i="5"/>
  <c r="H1853" i="5"/>
  <c r="F1853" i="5"/>
  <c r="R1834" i="5"/>
  <c r="I1834" i="5"/>
  <c r="F1834" i="5"/>
  <c r="J1834" i="5"/>
  <c r="H1834" i="5"/>
  <c r="I1814" i="5"/>
  <c r="H1814" i="5"/>
  <c r="F1814" i="5"/>
  <c r="J1814" i="5"/>
  <c r="R1814" i="5"/>
  <c r="R1982" i="5"/>
  <c r="J1982" i="5"/>
  <c r="I1982" i="5"/>
  <c r="H1982" i="5"/>
  <c r="I1746" i="5"/>
  <c r="R1746" i="5"/>
  <c r="J1746" i="5"/>
  <c r="H1746" i="5"/>
  <c r="F1746" i="5"/>
  <c r="R2014" i="5"/>
  <c r="J2014" i="5"/>
  <c r="I2014" i="5"/>
  <c r="H2014" i="5"/>
  <c r="F2014" i="5"/>
  <c r="R1858" i="5"/>
  <c r="J1858" i="5"/>
  <c r="I1858" i="5"/>
  <c r="H1858" i="5"/>
  <c r="F1858" i="5"/>
  <c r="R1731" i="5"/>
  <c r="J1731" i="5"/>
  <c r="I1731" i="5"/>
  <c r="H1731" i="5"/>
  <c r="F1731" i="5"/>
  <c r="R1734" i="5"/>
  <c r="J1734" i="5"/>
  <c r="I1734" i="5"/>
  <c r="H1734" i="5"/>
  <c r="F1734" i="5"/>
  <c r="I1575" i="5"/>
  <c r="H1575" i="5"/>
  <c r="F1575" i="5"/>
  <c r="R1575" i="5"/>
  <c r="J1575" i="5"/>
  <c r="R1340" i="5"/>
  <c r="F1340" i="5"/>
  <c r="H1340" i="5"/>
  <c r="J1340" i="5"/>
  <c r="I1340" i="5"/>
  <c r="F1362" i="5"/>
  <c r="R1362" i="5"/>
  <c r="I1362" i="5"/>
  <c r="H1362" i="5"/>
  <c r="J1362" i="5"/>
  <c r="F1382" i="5"/>
  <c r="R1382" i="5"/>
  <c r="J1382" i="5"/>
  <c r="I1382" i="5"/>
  <c r="H1382" i="5"/>
  <c r="H1191" i="5"/>
  <c r="J1191" i="5"/>
  <c r="F1191" i="5"/>
  <c r="I1191" i="5"/>
  <c r="R1191" i="5"/>
  <c r="I1311" i="5"/>
  <c r="H1311" i="5"/>
  <c r="R1311" i="5"/>
  <c r="J1311" i="5"/>
  <c r="F1311" i="5"/>
  <c r="H1279" i="5"/>
  <c r="R1279" i="5"/>
  <c r="J1279" i="5"/>
  <c r="F1279" i="5"/>
  <c r="I1600" i="5"/>
  <c r="F1170" i="5"/>
  <c r="R1170" i="5"/>
  <c r="F1258" i="5"/>
  <c r="R1258" i="5"/>
  <c r="J1258" i="5"/>
  <c r="I1258" i="5"/>
  <c r="H1258" i="5"/>
  <c r="R1144" i="5"/>
  <c r="R587" i="5"/>
  <c r="R454" i="5"/>
  <c r="H2430" i="5"/>
  <c r="H2435" i="5"/>
  <c r="I2435" i="5"/>
  <c r="F2435" i="5"/>
  <c r="J2435" i="5"/>
  <c r="H2391" i="5"/>
  <c r="R2391" i="5"/>
  <c r="J2391" i="5"/>
  <c r="I2391" i="5"/>
  <c r="F2391" i="5"/>
  <c r="H2377" i="5"/>
  <c r="F2377" i="5"/>
  <c r="J2377" i="5"/>
  <c r="I2377" i="5"/>
  <c r="R2377" i="5"/>
  <c r="J2384" i="5"/>
  <c r="R2384" i="5"/>
  <c r="F2384" i="5"/>
  <c r="I2163" i="5"/>
  <c r="H2163" i="5"/>
  <c r="F2163" i="5"/>
  <c r="R2163" i="5"/>
  <c r="F2106" i="5"/>
  <c r="I2106" i="5"/>
  <c r="H2106" i="5"/>
  <c r="R2106" i="5"/>
  <c r="J2106" i="5"/>
  <c r="F2090" i="5"/>
  <c r="I2090" i="5"/>
  <c r="H2090" i="5"/>
  <c r="R2090" i="5"/>
  <c r="J2090" i="5"/>
  <c r="R2144" i="5"/>
  <c r="J2144" i="5"/>
  <c r="I2144" i="5"/>
  <c r="H2144" i="5"/>
  <c r="F2144" i="5"/>
  <c r="R1962" i="5"/>
  <c r="J1962" i="5"/>
  <c r="I1962" i="5"/>
  <c r="H1962" i="5"/>
  <c r="F1962" i="5"/>
  <c r="I1849" i="5"/>
  <c r="H1849" i="5"/>
  <c r="F1849" i="5"/>
  <c r="R1849" i="5"/>
  <c r="J1849" i="5"/>
  <c r="H1829" i="5"/>
  <c r="F1743" i="5"/>
  <c r="H1743" i="5"/>
  <c r="I1730" i="5"/>
  <c r="H1730" i="5"/>
  <c r="F1730" i="5"/>
  <c r="R1730" i="5"/>
  <c r="J1730" i="5"/>
  <c r="I1698" i="5"/>
  <c r="H1698" i="5"/>
  <c r="F1698" i="5"/>
  <c r="R1698" i="5"/>
  <c r="J1698" i="5"/>
  <c r="I1682" i="5"/>
  <c r="H1682" i="5"/>
  <c r="F1682" i="5"/>
  <c r="R1682" i="5"/>
  <c r="J1682" i="5"/>
  <c r="I1666" i="5"/>
  <c r="H1666" i="5"/>
  <c r="F1666" i="5"/>
  <c r="R1666" i="5"/>
  <c r="J1666" i="5"/>
  <c r="H1650" i="5"/>
  <c r="R1650" i="5"/>
  <c r="H1634" i="5"/>
  <c r="R1602" i="5"/>
  <c r="H1602" i="5"/>
  <c r="F1586" i="5"/>
  <c r="R1586" i="5"/>
  <c r="J1586" i="5"/>
  <c r="I1586" i="5"/>
  <c r="H1586" i="5"/>
  <c r="F1554" i="5"/>
  <c r="R1554" i="5"/>
  <c r="J1554" i="5"/>
  <c r="I1554" i="5"/>
  <c r="H1554" i="5"/>
  <c r="R1850" i="5"/>
  <c r="J1850" i="5"/>
  <c r="I1850" i="5"/>
  <c r="H1850" i="5"/>
  <c r="F1850" i="5"/>
  <c r="R1643" i="5"/>
  <c r="J1643" i="5"/>
  <c r="H1643" i="5"/>
  <c r="H1767" i="5"/>
  <c r="F1767" i="5"/>
  <c r="R1767" i="5"/>
  <c r="J1767" i="5"/>
  <c r="I1767" i="5"/>
  <c r="R1695" i="5"/>
  <c r="J1695" i="5"/>
  <c r="I1760" i="5"/>
  <c r="H1540" i="5"/>
  <c r="J1540" i="5"/>
  <c r="I1563" i="5"/>
  <c r="H1563" i="5"/>
  <c r="F1563" i="5"/>
  <c r="R1563" i="5"/>
  <c r="J1563" i="5"/>
  <c r="H1472" i="5"/>
  <c r="F1472" i="5"/>
  <c r="I1472" i="5"/>
  <c r="R1472" i="5"/>
  <c r="I1444" i="5"/>
  <c r="I1359" i="5"/>
  <c r="H1359" i="5"/>
  <c r="R1359" i="5"/>
  <c r="F1359" i="5"/>
  <c r="J1359" i="5"/>
  <c r="H1428" i="5"/>
  <c r="R1428" i="5"/>
  <c r="F1428" i="5"/>
  <c r="J1428" i="5"/>
  <c r="I1428" i="5"/>
  <c r="R1159" i="5"/>
  <c r="H1239" i="5"/>
  <c r="R1239" i="5"/>
  <c r="J1239" i="5"/>
  <c r="I1239" i="5"/>
  <c r="F1239" i="5"/>
  <c r="R1556" i="5"/>
  <c r="J1556" i="5"/>
  <c r="I1556" i="5"/>
  <c r="H1556" i="5"/>
  <c r="F1556" i="5"/>
  <c r="I1275" i="5"/>
  <c r="H1275" i="5"/>
  <c r="R1275" i="5"/>
  <c r="J1275" i="5"/>
  <c r="F1275" i="5"/>
  <c r="J1457" i="5"/>
  <c r="H1457" i="5"/>
  <c r="F1457" i="5"/>
  <c r="R1457" i="5"/>
  <c r="I1457" i="5"/>
  <c r="F1334" i="5"/>
  <c r="R1334" i="5"/>
  <c r="J1334" i="5"/>
  <c r="I1334" i="5"/>
  <c r="H1334" i="5"/>
  <c r="J1310" i="5"/>
  <c r="I1310" i="5"/>
  <c r="I1302" i="5"/>
  <c r="H1302" i="5"/>
  <c r="F1286" i="5"/>
  <c r="R1286" i="5"/>
  <c r="J1286" i="5"/>
  <c r="I1286" i="5"/>
  <c r="H1286" i="5"/>
  <c r="F1278" i="5"/>
  <c r="R1278" i="5"/>
  <c r="J1278" i="5"/>
  <c r="I1278" i="5"/>
  <c r="H1278" i="5"/>
  <c r="H1262" i="5"/>
  <c r="I1347" i="5"/>
  <c r="R1347" i="5"/>
  <c r="J1347" i="5"/>
  <c r="H1347" i="5"/>
  <c r="F1347" i="5"/>
  <c r="R569" i="5"/>
  <c r="R112" i="5"/>
  <c r="S480" i="5"/>
  <c r="AB12" i="5"/>
  <c r="AB9" i="5"/>
  <c r="AB10" i="5"/>
  <c r="AB14" i="5"/>
  <c r="AB17" i="5"/>
  <c r="AB16" i="5"/>
  <c r="AB8" i="5"/>
  <c r="AB13" i="5"/>
  <c r="AB15" i="5"/>
  <c r="AB11" i="5"/>
  <c r="AB7" i="5"/>
  <c r="S538" i="5"/>
  <c r="R9" i="5"/>
  <c r="R8" i="5"/>
  <c r="R11" i="5"/>
  <c r="S1063" i="5"/>
  <c r="S1144" i="5"/>
  <c r="S1050" i="5"/>
  <c r="S1055" i="5"/>
  <c r="S998" i="5"/>
  <c r="S1137" i="5"/>
  <c r="S1108" i="5"/>
  <c r="S1097" i="5"/>
  <c r="S981" i="5"/>
  <c r="S982" i="5"/>
  <c r="S1106" i="5"/>
  <c r="S1031" i="5"/>
  <c r="S1059" i="5"/>
  <c r="S1096" i="5"/>
  <c r="S1075" i="5"/>
  <c r="S1104" i="5"/>
  <c r="S1062" i="5"/>
  <c r="S1045" i="5"/>
  <c r="S922" i="5"/>
  <c r="S907" i="5"/>
  <c r="S772" i="5"/>
  <c r="S844" i="5"/>
  <c r="S884" i="5"/>
  <c r="S891" i="5"/>
  <c r="S817" i="5"/>
  <c r="S798" i="5"/>
  <c r="S796" i="5"/>
  <c r="S828" i="5"/>
  <c r="S808" i="5"/>
  <c r="S771" i="5"/>
  <c r="S778" i="5"/>
  <c r="S767" i="5"/>
  <c r="S866" i="5"/>
  <c r="S714" i="5"/>
  <c r="S710" i="5"/>
  <c r="S656" i="5"/>
  <c r="S611" i="5"/>
  <c r="S626" i="5"/>
  <c r="S629" i="5"/>
  <c r="S602" i="5"/>
  <c r="S623" i="5"/>
  <c r="S608" i="5"/>
  <c r="S584" i="5"/>
  <c r="S600" i="5"/>
  <c r="S630" i="5"/>
  <c r="S563" i="5"/>
  <c r="S665" i="5"/>
  <c r="S731" i="5"/>
  <c r="S562" i="5"/>
  <c r="S638" i="5"/>
  <c r="S628" i="5"/>
  <c r="S527" i="5"/>
  <c r="S505" i="5"/>
  <c r="S512" i="5"/>
  <c r="S530" i="5"/>
  <c r="S531" i="5"/>
  <c r="S446" i="5"/>
  <c r="S355" i="5"/>
  <c r="S474" i="5"/>
  <c r="S408" i="5"/>
  <c r="S367" i="5"/>
  <c r="S469" i="5"/>
  <c r="S395" i="5"/>
  <c r="S350" i="5"/>
  <c r="S381" i="5"/>
  <c r="S550" i="5"/>
  <c r="S690" i="5"/>
  <c r="S743" i="5"/>
  <c r="S593" i="5"/>
  <c r="S657" i="5"/>
  <c r="S484" i="5"/>
  <c r="S496" i="5"/>
  <c r="S439" i="5"/>
  <c r="S454" i="5"/>
  <c r="S365" i="5"/>
  <c r="S396" i="5"/>
  <c r="S470" i="5"/>
  <c r="S1047" i="5"/>
  <c r="S1101" i="5"/>
  <c r="S1114" i="5"/>
  <c r="S985" i="5"/>
  <c r="S948" i="5"/>
  <c r="S1127" i="5"/>
  <c r="S1130" i="5"/>
  <c r="S993" i="5"/>
  <c r="S990" i="5"/>
  <c r="S959" i="5"/>
  <c r="S945" i="5"/>
  <c r="S983" i="5"/>
  <c r="S1080" i="5"/>
  <c r="S978" i="5"/>
  <c r="S1001" i="5"/>
  <c r="S950" i="5"/>
  <c r="S957" i="5"/>
  <c r="S1077" i="5"/>
  <c r="S933" i="5"/>
  <c r="S861" i="5"/>
  <c r="S886" i="5"/>
  <c r="S795" i="5"/>
  <c r="S878" i="5"/>
  <c r="S839" i="5"/>
  <c r="S856" i="5"/>
  <c r="S762" i="5"/>
  <c r="S887" i="5"/>
  <c r="S820" i="5"/>
  <c r="S764" i="5"/>
  <c r="S893" i="5"/>
  <c r="S918" i="5"/>
  <c r="S831" i="5"/>
  <c r="S867" i="5"/>
  <c r="S687" i="5"/>
  <c r="S641" i="5"/>
  <c r="S723" i="5"/>
  <c r="S596" i="5"/>
  <c r="S674" i="5"/>
  <c r="S734" i="5"/>
  <c r="S712" i="5"/>
  <c r="S673" i="5"/>
  <c r="S635" i="5"/>
  <c r="S542" i="5"/>
  <c r="S680" i="5"/>
  <c r="S715" i="5"/>
  <c r="S597" i="5"/>
  <c r="S547" i="5"/>
  <c r="S588" i="5"/>
  <c r="S662" i="5"/>
  <c r="S549" i="5"/>
  <c r="S707" i="5"/>
  <c r="S488" i="5"/>
  <c r="S518" i="5"/>
  <c r="S534" i="5"/>
  <c r="S536" i="5"/>
  <c r="S491" i="5"/>
  <c r="S360" i="5"/>
  <c r="S468" i="5"/>
  <c r="S428" i="5"/>
  <c r="S443" i="5"/>
  <c r="S415" i="5"/>
  <c r="S364" i="5"/>
  <c r="S414" i="5"/>
  <c r="S453" i="5"/>
  <c r="S462" i="5"/>
  <c r="S354" i="5"/>
  <c r="S385" i="5"/>
  <c r="S652" i="5"/>
  <c r="S753" i="5"/>
  <c r="S581" i="5"/>
  <c r="S493" i="5"/>
  <c r="S515" i="5"/>
  <c r="S400" i="5"/>
  <c r="S431" i="5"/>
  <c r="S356" i="5"/>
  <c r="S1159" i="5"/>
  <c r="S1027" i="5"/>
  <c r="S1053" i="5"/>
  <c r="S1018" i="5"/>
  <c r="S1138" i="5"/>
  <c r="S942" i="5"/>
  <c r="S949" i="5"/>
  <c r="S1125" i="5"/>
  <c r="S964" i="5"/>
  <c r="S1007" i="5"/>
  <c r="S974" i="5"/>
  <c r="S1078" i="5"/>
  <c r="S943" i="5"/>
  <c r="S1103" i="5"/>
  <c r="S1019" i="5"/>
  <c r="S1065" i="5"/>
  <c r="S1099" i="5"/>
  <c r="S1110" i="5"/>
  <c r="S1146" i="5"/>
  <c r="S841" i="5"/>
  <c r="S931" i="5"/>
  <c r="S822" i="5"/>
  <c r="S833" i="5"/>
  <c r="S815" i="5"/>
  <c r="S837" i="5"/>
  <c r="S898" i="5"/>
  <c r="S902" i="5"/>
  <c r="S807" i="5"/>
  <c r="S843" i="5"/>
  <c r="S906" i="5"/>
  <c r="S827" i="5"/>
  <c r="S899" i="5"/>
  <c r="S829" i="5"/>
  <c r="S765" i="5"/>
  <c r="S733" i="5"/>
  <c r="S722" i="5"/>
  <c r="S709" i="5"/>
  <c r="S541" i="5"/>
  <c r="S612" i="5"/>
  <c r="S724" i="5"/>
  <c r="S670" i="5"/>
  <c r="S551" i="5"/>
  <c r="S699" i="5"/>
  <c r="S571" i="5"/>
  <c r="S524" i="5"/>
  <c r="S452" i="5"/>
  <c r="S413" i="5"/>
  <c r="S1115" i="5"/>
  <c r="S1017" i="5"/>
  <c r="S1015" i="5"/>
  <c r="S1006" i="5"/>
  <c r="S1105" i="5"/>
  <c r="S994" i="5"/>
  <c r="S977" i="5"/>
  <c r="S952" i="5"/>
  <c r="S1128" i="5"/>
  <c r="S1135" i="5"/>
  <c r="S1095" i="5"/>
  <c r="S1112" i="5"/>
  <c r="S1151" i="5"/>
  <c r="S1025" i="5"/>
  <c r="S1043" i="5"/>
  <c r="S961" i="5"/>
  <c r="S968" i="5"/>
  <c r="S984" i="5"/>
  <c r="S940" i="5"/>
  <c r="S763" i="5"/>
  <c r="S909" i="5"/>
  <c r="S781" i="5"/>
  <c r="S914" i="5"/>
  <c r="S924" i="5"/>
  <c r="S897" i="5"/>
  <c r="S901" i="5"/>
  <c r="S936" i="5"/>
  <c r="S794" i="5"/>
  <c r="S917" i="5"/>
  <c r="S868" i="5"/>
  <c r="S777" i="5"/>
  <c r="S851" i="5"/>
  <c r="S849" i="5"/>
  <c r="S732" i="5"/>
  <c r="S728" i="5"/>
  <c r="S727" i="5"/>
  <c r="S650" i="5"/>
  <c r="S692" i="5"/>
  <c r="S616" i="5"/>
  <c r="S545" i="5"/>
  <c r="S682" i="5"/>
  <c r="S716" i="5"/>
  <c r="S683" i="5"/>
  <c r="S595" i="5"/>
  <c r="S726" i="5"/>
  <c r="S609" i="5"/>
  <c r="S661" i="5"/>
  <c r="S620" i="5"/>
  <c r="S711" i="5"/>
  <c r="S607" i="5"/>
  <c r="S694" i="5"/>
  <c r="S522" i="5"/>
  <c r="S516" i="5"/>
  <c r="S483" i="5"/>
  <c r="S503" i="5"/>
  <c r="S537" i="5"/>
  <c r="S404" i="5"/>
  <c r="S358" i="5"/>
  <c r="S421" i="5"/>
  <c r="S391" i="5"/>
  <c r="S434" i="5"/>
  <c r="S369" i="5"/>
  <c r="S445" i="5"/>
  <c r="S399" i="5"/>
  <c r="S422" i="5"/>
  <c r="S412" i="5"/>
  <c r="S361" i="5"/>
  <c r="S373" i="5"/>
  <c r="S448" i="5"/>
  <c r="S409" i="5"/>
  <c r="S1009" i="5"/>
  <c r="S1155" i="5"/>
  <c r="S1014" i="5"/>
  <c r="S1005" i="5"/>
  <c r="S1024" i="5"/>
  <c r="S1109" i="5"/>
  <c r="S956" i="5"/>
  <c r="S1142" i="5"/>
  <c r="S1094" i="5"/>
  <c r="S1028" i="5"/>
  <c r="S1117" i="5"/>
  <c r="S1150" i="5"/>
  <c r="S784" i="5"/>
  <c r="S816" i="5"/>
  <c r="S881" i="5"/>
  <c r="S864" i="5"/>
  <c r="S769" i="5"/>
  <c r="S859" i="5"/>
  <c r="S792" i="5"/>
  <c r="S826" i="5"/>
  <c r="S892" i="5"/>
  <c r="S791" i="5"/>
  <c r="S756" i="5"/>
  <c r="S706" i="5"/>
  <c r="S565" i="5"/>
  <c r="S695" i="5"/>
  <c r="S739" i="5"/>
  <c r="S737" i="5"/>
  <c r="S667" i="5"/>
  <c r="S713" i="5"/>
  <c r="S555" i="5"/>
  <c r="S653" i="5"/>
  <c r="S688" i="5"/>
  <c r="S647" i="5"/>
  <c r="S632" i="5"/>
  <c r="S481" i="5"/>
  <c r="S487" i="5"/>
  <c r="S485" i="5"/>
  <c r="S394" i="5"/>
  <c r="S388" i="5"/>
  <c r="S429" i="5"/>
  <c r="S473" i="5"/>
  <c r="S1131" i="5"/>
  <c r="S1030" i="5"/>
  <c r="S992" i="5"/>
  <c r="S1091" i="5"/>
  <c r="S773" i="5"/>
  <c r="S810" i="5"/>
  <c r="S660" i="5"/>
  <c r="S679" i="5"/>
  <c r="S659" i="5"/>
  <c r="S508" i="5"/>
  <c r="S374" i="5"/>
  <c r="S996" i="5"/>
  <c r="S1086" i="5"/>
  <c r="S1085" i="5"/>
  <c r="S1022" i="5"/>
  <c r="S944" i="5"/>
  <c r="S1120" i="5"/>
  <c r="S1089" i="5"/>
  <c r="S1068" i="5"/>
  <c r="S953" i="5"/>
  <c r="S951" i="5"/>
  <c r="S1052" i="5"/>
  <c r="S1044" i="5"/>
  <c r="S910" i="5"/>
  <c r="S865" i="5"/>
  <c r="S806" i="5"/>
  <c r="S929" i="5"/>
  <c r="S846" i="5"/>
  <c r="S853" i="5"/>
  <c r="S927" i="5"/>
  <c r="S876" i="5"/>
  <c r="S830" i="5"/>
  <c r="S847" i="5"/>
  <c r="S700" i="5"/>
  <c r="S619" i="5"/>
  <c r="S747" i="5"/>
  <c r="S592" i="5"/>
  <c r="S561" i="5"/>
  <c r="S566" i="5"/>
  <c r="S677" i="5"/>
  <c r="S580" i="5"/>
  <c r="S689" i="5"/>
  <c r="S575" i="5"/>
  <c r="S651" i="5"/>
  <c r="S636" i="5"/>
  <c r="S513" i="5"/>
  <c r="S490" i="5"/>
  <c r="S517" i="5"/>
  <c r="S411" i="5"/>
  <c r="S430" i="5"/>
  <c r="S406" i="5"/>
  <c r="S397" i="5"/>
  <c r="S457" i="5"/>
  <c r="S390" i="5"/>
  <c r="S363" i="5"/>
  <c r="S451" i="5"/>
  <c r="S999" i="5"/>
  <c r="S1011" i="5"/>
  <c r="S1122" i="5"/>
  <c r="S1156" i="5"/>
  <c r="S1034" i="5"/>
  <c r="S954" i="5"/>
  <c r="S838" i="5"/>
  <c r="S686" i="5"/>
  <c r="S663" i="5"/>
  <c r="S744" i="5"/>
  <c r="S574" i="5"/>
  <c r="S567" i="5"/>
  <c r="S729" i="5"/>
  <c r="S585" i="5"/>
  <c r="S745" i="5"/>
  <c r="S678" i="5"/>
  <c r="S504" i="5"/>
  <c r="S372" i="5"/>
  <c r="S442" i="5"/>
  <c r="S455" i="5"/>
  <c r="S1118" i="5"/>
  <c r="S976" i="5"/>
  <c r="S1092" i="5"/>
  <c r="S1070" i="5"/>
  <c r="S1141" i="5"/>
  <c r="S1058" i="5"/>
  <c r="S1041" i="5"/>
  <c r="S1093" i="5"/>
  <c r="S1147" i="5"/>
  <c r="S1004" i="5"/>
  <c r="S972" i="5"/>
  <c r="S971" i="5"/>
  <c r="S905" i="5"/>
  <c r="S825" i="5"/>
  <c r="S819" i="5"/>
  <c r="S852" i="5"/>
  <c r="S776" i="5"/>
  <c r="S919" i="5"/>
  <c r="S923" i="5"/>
  <c r="S823" i="5"/>
  <c r="S766" i="5"/>
  <c r="S855" i="5"/>
  <c r="S631" i="5"/>
  <c r="S681" i="5"/>
  <c r="S552" i="5"/>
  <c r="S633" i="5"/>
  <c r="S725" i="5"/>
  <c r="S540" i="5"/>
  <c r="S668" i="5"/>
  <c r="S613" i="5"/>
  <c r="S676" i="5"/>
  <c r="S557" i="5"/>
  <c r="S634" i="5"/>
  <c r="S720" i="5"/>
  <c r="S535" i="5"/>
  <c r="S510" i="5"/>
  <c r="S506" i="5"/>
  <c r="S460" i="5"/>
  <c r="S379" i="5"/>
  <c r="S476" i="5"/>
  <c r="S449" i="5"/>
  <c r="S436" i="5"/>
  <c r="S352" i="5"/>
  <c r="S295" i="5"/>
  <c r="S465" i="5"/>
  <c r="S438" i="5"/>
  <c r="S1076" i="5"/>
  <c r="S1139" i="5"/>
  <c r="S1049" i="5"/>
  <c r="S1116" i="5"/>
  <c r="S1032" i="5"/>
  <c r="S1046" i="5"/>
  <c r="S860" i="5"/>
  <c r="S925" i="5"/>
  <c r="S912" i="5"/>
  <c r="S818" i="5"/>
  <c r="S932" i="5"/>
  <c r="S911" i="5"/>
  <c r="S850" i="5"/>
  <c r="S782" i="5"/>
  <c r="S895" i="5"/>
  <c r="S703" i="5"/>
  <c r="S598" i="5"/>
  <c r="S556" i="5"/>
  <c r="S498" i="5"/>
  <c r="S497" i="5"/>
  <c r="S402" i="5"/>
  <c r="S463" i="5"/>
  <c r="S424" i="5"/>
  <c r="S392" i="5"/>
  <c r="S1088" i="5"/>
  <c r="S965" i="5"/>
  <c r="S1051" i="5"/>
  <c r="S1013" i="5"/>
  <c r="S960" i="5"/>
  <c r="S987" i="5"/>
  <c r="S1087" i="5"/>
  <c r="S963" i="5"/>
  <c r="S1153" i="5"/>
  <c r="S1102" i="5"/>
  <c r="S966" i="5"/>
  <c r="S980" i="5"/>
  <c r="S821" i="5"/>
  <c r="S790" i="5"/>
  <c r="S797" i="5"/>
  <c r="S873" i="5"/>
  <c r="S779" i="5"/>
  <c r="S870" i="5"/>
  <c r="S801" i="5"/>
  <c r="S883" i="5"/>
  <c r="S904" i="5"/>
  <c r="S848" i="5"/>
  <c r="S648" i="5"/>
  <c r="S604" i="5"/>
  <c r="S664" i="5"/>
  <c r="S558" i="5"/>
  <c r="S740" i="5"/>
  <c r="S603" i="5"/>
  <c r="S705" i="5"/>
  <c r="S718" i="5"/>
  <c r="S610" i="5"/>
  <c r="S639" i="5"/>
  <c r="S721" i="5"/>
  <c r="S666" i="5"/>
  <c r="S520" i="5"/>
  <c r="S500" i="5"/>
  <c r="S533" i="5"/>
  <c r="S375" i="5"/>
  <c r="S410" i="5"/>
  <c r="S458" i="5"/>
  <c r="S383" i="5"/>
  <c r="S416" i="5"/>
  <c r="S433" i="5"/>
  <c r="S1149" i="5"/>
  <c r="S955" i="5"/>
  <c r="S1002" i="5"/>
  <c r="S1154" i="5"/>
  <c r="S970" i="5"/>
  <c r="S908" i="5"/>
  <c r="S780" i="5"/>
  <c r="S759" i="5"/>
  <c r="S599" i="5"/>
  <c r="S669" i="5"/>
  <c r="S553" i="5"/>
  <c r="S645" i="5"/>
  <c r="S697" i="5"/>
  <c r="S486" i="5"/>
  <c r="S464" i="5"/>
  <c r="S456" i="5"/>
  <c r="S389" i="5"/>
  <c r="S1033" i="5"/>
  <c r="S1057" i="5"/>
  <c r="S969" i="5"/>
  <c r="S973" i="5"/>
  <c r="S1132" i="5"/>
  <c r="S862" i="5"/>
  <c r="S804" i="5"/>
  <c r="S812" i="5"/>
  <c r="S696" i="5"/>
  <c r="S719" i="5"/>
  <c r="S644" i="5"/>
  <c r="S627" i="5"/>
  <c r="S509" i="5"/>
  <c r="S366" i="5"/>
  <c r="S472" i="5"/>
  <c r="S946" i="5"/>
  <c r="S1039" i="5"/>
  <c r="S854" i="5"/>
  <c r="S787" i="5"/>
  <c r="S768" i="5"/>
  <c r="S748" i="5"/>
  <c r="S606" i="5"/>
  <c r="S523" i="5"/>
  <c r="S398" i="5"/>
  <c r="S477" i="5"/>
  <c r="S426" i="5"/>
  <c r="S1158" i="5"/>
  <c r="S1016" i="5"/>
  <c r="S1056" i="5"/>
  <c r="S1140" i="5"/>
  <c r="S1090" i="5"/>
  <c r="S1111" i="5"/>
  <c r="S1113" i="5"/>
  <c r="S1048" i="5"/>
  <c r="S947" i="5"/>
  <c r="S1121" i="5"/>
  <c r="S1129" i="5"/>
  <c r="S967" i="5"/>
  <c r="S894" i="5"/>
  <c r="S930" i="5"/>
  <c r="S937" i="5"/>
  <c r="S800" i="5"/>
  <c r="S879" i="5"/>
  <c r="S805" i="5"/>
  <c r="S885" i="5"/>
  <c r="S761" i="5"/>
  <c r="S913" i="5"/>
  <c r="S900" i="5"/>
  <c r="S757" i="5"/>
  <c r="S701" i="5"/>
  <c r="S543" i="5"/>
  <c r="S601" i="5"/>
  <c r="S622" i="5"/>
  <c r="S671" i="5"/>
  <c r="S708" i="5"/>
  <c r="S693" i="5"/>
  <c r="S672" i="5"/>
  <c r="S605" i="5"/>
  <c r="S741" i="5"/>
  <c r="S618" i="5"/>
  <c r="S625" i="5"/>
  <c r="S532" i="5"/>
  <c r="S511" i="5"/>
  <c r="S529" i="5"/>
  <c r="S440" i="5"/>
  <c r="S353" i="5"/>
  <c r="S380" i="5"/>
  <c r="S401" i="5"/>
  <c r="S1029" i="5"/>
  <c r="S1148" i="5"/>
  <c r="S1133" i="5"/>
  <c r="S1073" i="5"/>
  <c r="S824" i="5"/>
  <c r="S869" i="5"/>
  <c r="S751" i="5"/>
  <c r="S591" i="5"/>
  <c r="S621" i="5"/>
  <c r="S539" i="5"/>
  <c r="S501" i="5"/>
  <c r="S359" i="5"/>
  <c r="S376" i="5"/>
  <c r="S447" i="5"/>
  <c r="S1081" i="5"/>
  <c r="S1038" i="5"/>
  <c r="S1126" i="5"/>
  <c r="S1008" i="5"/>
  <c r="S1152" i="5"/>
  <c r="S832" i="5"/>
  <c r="S926" i="5"/>
  <c r="S786" i="5"/>
  <c r="S758" i="5"/>
  <c r="S573" i="5"/>
  <c r="S546" i="5"/>
  <c r="S642" i="5"/>
  <c r="S521" i="5"/>
  <c r="S349" i="5"/>
  <c r="S370" i="5"/>
  <c r="S378" i="5"/>
  <c r="S1079" i="5"/>
  <c r="S1067" i="5"/>
  <c r="S858" i="5"/>
  <c r="S874" i="5"/>
  <c r="S842" i="5"/>
  <c r="S702" i="5"/>
  <c r="S572" i="5"/>
  <c r="S569" i="5"/>
  <c r="S560" i="5"/>
  <c r="S525" i="5"/>
  <c r="S357" i="5"/>
  <c r="S419" i="5"/>
  <c r="S989" i="5"/>
  <c r="S1145" i="5"/>
  <c r="S1040" i="5"/>
  <c r="S939" i="5"/>
  <c r="S875" i="5"/>
  <c r="S836" i="5"/>
  <c r="S877" i="5"/>
  <c r="S803" i="5"/>
  <c r="S935" i="5"/>
  <c r="S749" i="5"/>
  <c r="S691" i="5"/>
  <c r="S750" i="5"/>
  <c r="S528" i="5"/>
  <c r="S387" i="5"/>
  <c r="S437" i="5"/>
  <c r="S348" i="5"/>
  <c r="S1107" i="5"/>
  <c r="S991" i="5"/>
  <c r="S802" i="5"/>
  <c r="S783" i="5"/>
  <c r="S934" i="5"/>
  <c r="S872" i="5"/>
  <c r="S589" i="5"/>
  <c r="S738" i="5"/>
  <c r="S590" i="5"/>
  <c r="S587" i="5"/>
  <c r="S646" i="5"/>
  <c r="S492" i="5"/>
  <c r="S377" i="5"/>
  <c r="S368" i="5"/>
  <c r="S1071" i="5"/>
  <c r="S988" i="5"/>
  <c r="S1060" i="5"/>
  <c r="S1069" i="5"/>
  <c r="S915" i="5"/>
  <c r="S916" i="5"/>
  <c r="S755" i="5"/>
  <c r="S685" i="5"/>
  <c r="S658" i="5"/>
  <c r="S499" i="5"/>
  <c r="S425" i="5"/>
  <c r="S479" i="5"/>
  <c r="S466" i="5"/>
  <c r="S423" i="5"/>
  <c r="S975" i="5"/>
  <c r="S995" i="5"/>
  <c r="S1010" i="5"/>
  <c r="S799" i="5"/>
  <c r="S774" i="5"/>
  <c r="S637" i="5"/>
  <c r="S730" i="5"/>
  <c r="S684" i="5"/>
  <c r="S526" i="5"/>
  <c r="S475" i="5"/>
  <c r="S418" i="5"/>
  <c r="S461" i="5"/>
  <c r="S1012" i="5"/>
  <c r="S788" i="5"/>
  <c r="S742" i="5"/>
  <c r="S920" i="5"/>
  <c r="S770" i="5"/>
  <c r="S444" i="5"/>
  <c r="S568" i="5"/>
  <c r="S1036" i="5"/>
  <c r="S1084" i="5"/>
  <c r="S1083" i="5"/>
  <c r="S845" i="5"/>
  <c r="S871" i="5"/>
  <c r="S564" i="5"/>
  <c r="S624" i="5"/>
  <c r="S583" i="5"/>
  <c r="S502" i="5"/>
  <c r="S407" i="5"/>
  <c r="S371" i="5"/>
  <c r="S834" i="5"/>
  <c r="S1123" i="5"/>
  <c r="S586" i="5"/>
  <c r="S1054" i="5"/>
  <c r="S382" i="5"/>
  <c r="S1000" i="5"/>
  <c r="S1124" i="5"/>
  <c r="S1072" i="5"/>
  <c r="S903" i="5"/>
  <c r="S793" i="5"/>
  <c r="S857" i="5"/>
  <c r="S746" i="5"/>
  <c r="S654" i="5"/>
  <c r="S717" i="5"/>
  <c r="S482" i="5"/>
  <c r="S384" i="5"/>
  <c r="S417" i="5"/>
  <c r="S1134" i="5"/>
  <c r="S582" i="5"/>
  <c r="S435" i="5"/>
  <c r="S835" i="5"/>
  <c r="S614" i="5"/>
  <c r="S1064" i="5"/>
  <c r="S1119" i="5"/>
  <c r="S1098" i="5"/>
  <c r="S1143" i="5"/>
  <c r="S889" i="5"/>
  <c r="S840" i="5"/>
  <c r="S938" i="5"/>
  <c r="S617" i="5"/>
  <c r="S577" i="5"/>
  <c r="S594" i="5"/>
  <c r="S495" i="5"/>
  <c r="S467" i="5"/>
  <c r="S427" i="5"/>
  <c r="S1023" i="5"/>
  <c r="S576" i="5"/>
  <c r="S351" i="5"/>
  <c r="S986" i="5"/>
  <c r="S997" i="5"/>
  <c r="S1136" i="5"/>
  <c r="S813" i="5"/>
  <c r="S775" i="5"/>
  <c r="S928" i="5"/>
  <c r="S643" i="5"/>
  <c r="S736" i="5"/>
  <c r="S559" i="5"/>
  <c r="S514" i="5"/>
  <c r="S450" i="5"/>
  <c r="S814" i="5"/>
  <c r="S459" i="5"/>
  <c r="S979" i="5"/>
  <c r="S675" i="5"/>
  <c r="S362" i="5"/>
  <c r="S811" i="5"/>
  <c r="S494" i="5"/>
  <c r="S1082" i="5"/>
  <c r="S1037" i="5"/>
  <c r="S1100" i="5"/>
  <c r="S890" i="5"/>
  <c r="S863" i="5"/>
  <c r="S882" i="5"/>
  <c r="S735" i="5"/>
  <c r="S640" i="5"/>
  <c r="S649" i="5"/>
  <c r="S441" i="5"/>
  <c r="S420" i="5"/>
  <c r="S432" i="5"/>
  <c r="S1066" i="5"/>
  <c r="S386" i="5"/>
  <c r="S896" i="5"/>
  <c r="S1035" i="5"/>
  <c r="S1061" i="5"/>
  <c r="S1021" i="5"/>
  <c r="S921" i="5"/>
  <c r="S880" i="5"/>
  <c r="S752" i="5"/>
  <c r="S544" i="5"/>
  <c r="S578" i="5"/>
  <c r="S519" i="5"/>
  <c r="S405" i="5"/>
  <c r="S962" i="5"/>
  <c r="S888" i="5"/>
  <c r="S789" i="5"/>
  <c r="S554" i="5"/>
  <c r="S548" i="5"/>
  <c r="S403" i="5"/>
  <c r="S478" i="5"/>
  <c r="S1026" i="5"/>
  <c r="S1074" i="5"/>
  <c r="S1003" i="5"/>
  <c r="S1042" i="5"/>
  <c r="S809" i="5"/>
  <c r="S785" i="5"/>
  <c r="S655" i="5"/>
  <c r="S615" i="5"/>
  <c r="S579" i="5"/>
  <c r="S507" i="5"/>
  <c r="S471" i="5"/>
  <c r="S1020" i="5"/>
  <c r="S958" i="5"/>
  <c r="S698" i="5"/>
  <c r="S489" i="5"/>
  <c r="S393" i="5"/>
  <c r="S570" i="5"/>
  <c r="S704" i="5"/>
  <c r="S339" i="5"/>
  <c r="S86" i="5"/>
  <c r="S85" i="5"/>
  <c r="S121" i="5"/>
  <c r="S260" i="5"/>
  <c r="S95" i="5"/>
  <c r="S149" i="5"/>
  <c r="S325" i="5"/>
  <c r="S241" i="5"/>
  <c r="S157" i="5"/>
  <c r="S211" i="5"/>
  <c r="S311" i="5"/>
  <c r="S133" i="5"/>
  <c r="S143" i="5"/>
  <c r="S203" i="5"/>
  <c r="S307" i="5"/>
  <c r="S183" i="5"/>
  <c r="S123" i="5"/>
  <c r="S42" i="5"/>
  <c r="S239" i="5"/>
  <c r="S178" i="5"/>
  <c r="S194" i="5"/>
  <c r="S30" i="5"/>
  <c r="S156" i="5"/>
  <c r="S343" i="5"/>
  <c r="S262" i="5"/>
  <c r="S111" i="5"/>
  <c r="S124" i="5"/>
  <c r="S236" i="5"/>
  <c r="S269" i="5"/>
  <c r="S302" i="5"/>
  <c r="S300" i="5"/>
  <c r="S210" i="5"/>
  <c r="S282" i="5"/>
  <c r="S93" i="5"/>
  <c r="S317" i="5"/>
  <c r="S177" i="5"/>
  <c r="S21" i="5"/>
  <c r="S22" i="5"/>
  <c r="S163" i="5"/>
  <c r="S195" i="5"/>
  <c r="S144" i="5"/>
  <c r="S174" i="5"/>
  <c r="S279" i="5"/>
  <c r="S145" i="5"/>
  <c r="S10" i="5"/>
  <c r="S331" i="5"/>
  <c r="S294" i="5"/>
  <c r="S96" i="5"/>
  <c r="S196" i="5"/>
  <c r="S160" i="5"/>
  <c r="S344" i="5"/>
  <c r="S243" i="5"/>
  <c r="S122" i="5"/>
  <c r="S264" i="5"/>
  <c r="S304" i="5"/>
  <c r="S55" i="5"/>
  <c r="S23" i="5"/>
  <c r="S171" i="5"/>
  <c r="S305" i="5"/>
  <c r="S74" i="5"/>
  <c r="S256" i="5"/>
  <c r="S223" i="5"/>
  <c r="S321" i="5"/>
  <c r="S176" i="5"/>
  <c r="G64" i="6" a="1"/>
  <c r="S60" i="5"/>
  <c r="S207" i="5"/>
  <c r="S255" i="5"/>
  <c r="S89" i="5"/>
  <c r="S35" i="5"/>
  <c r="S126" i="5"/>
  <c r="S303" i="5"/>
  <c r="S98" i="5"/>
  <c r="S40" i="5"/>
  <c r="S182" i="5"/>
  <c r="S5" i="5"/>
  <c r="S103" i="5"/>
  <c r="S200" i="5"/>
  <c r="S116" i="5"/>
  <c r="S188" i="5"/>
  <c r="S92" i="5"/>
  <c r="S101" i="5"/>
  <c r="S247" i="5"/>
  <c r="S100" i="5"/>
  <c r="S271" i="5"/>
  <c r="S252" i="5"/>
  <c r="S290" i="5"/>
  <c r="S54" i="5"/>
  <c r="S24" i="5"/>
  <c r="S8" i="5"/>
  <c r="S284" i="5"/>
  <c r="S253" i="5"/>
  <c r="S206" i="5"/>
  <c r="S286" i="5"/>
  <c r="S309" i="5"/>
  <c r="S49" i="5"/>
  <c r="S273" i="5"/>
  <c r="S44" i="5"/>
  <c r="S278" i="5"/>
  <c r="S235" i="5"/>
  <c r="S110" i="5"/>
  <c r="S82" i="5"/>
  <c r="S113" i="5"/>
  <c r="S234" i="5"/>
  <c r="S151" i="5"/>
  <c r="S17" i="5"/>
  <c r="S109" i="5"/>
  <c r="S314" i="5"/>
  <c r="S333" i="5"/>
  <c r="S204" i="5"/>
  <c r="S205" i="5"/>
  <c r="S336" i="5"/>
  <c r="S298" i="5"/>
  <c r="S137" i="5"/>
  <c r="S226" i="5"/>
  <c r="S233" i="5"/>
  <c r="S114" i="5"/>
  <c r="S169" i="5"/>
  <c r="S201" i="5"/>
  <c r="S185" i="5"/>
  <c r="S77" i="5"/>
  <c r="S148" i="5"/>
  <c r="S11" i="5"/>
  <c r="S159" i="5"/>
  <c r="S268" i="5"/>
  <c r="S315" i="5"/>
  <c r="S208" i="5"/>
  <c r="S209" i="5"/>
  <c r="S69" i="5"/>
  <c r="S134" i="5"/>
  <c r="S287" i="5"/>
  <c r="S175" i="5"/>
  <c r="S251" i="5"/>
  <c r="S18" i="5"/>
  <c r="S213" i="5"/>
  <c r="S28" i="5"/>
  <c r="S131" i="5"/>
  <c r="S128" i="5"/>
  <c r="S136" i="5"/>
  <c r="S166" i="5"/>
  <c r="S83" i="5"/>
  <c r="S141" i="5"/>
  <c r="S324" i="5"/>
  <c r="S36" i="5"/>
  <c r="S332" i="5"/>
  <c r="S120" i="5"/>
  <c r="S58" i="5"/>
  <c r="S330" i="5"/>
  <c r="S220" i="5"/>
  <c r="S334" i="5"/>
  <c r="S212" i="5"/>
  <c r="S244" i="5"/>
  <c r="S265" i="5"/>
  <c r="S39" i="5"/>
  <c r="S57" i="5"/>
  <c r="S292" i="5"/>
  <c r="S46" i="5"/>
  <c r="S73" i="5"/>
  <c r="S50" i="5"/>
  <c r="S146" i="5"/>
  <c r="S132" i="5"/>
  <c r="S34" i="5"/>
  <c r="S312" i="5"/>
  <c r="S153" i="5"/>
  <c r="S184" i="5"/>
  <c r="S118" i="5"/>
  <c r="S340" i="5"/>
  <c r="S7" i="5"/>
  <c r="S104" i="5"/>
  <c r="S32" i="5"/>
  <c r="S13" i="5"/>
  <c r="S323" i="5"/>
  <c r="S125" i="5"/>
  <c r="S140" i="5"/>
  <c r="S20" i="5"/>
  <c r="S29" i="5"/>
  <c r="S41" i="5"/>
  <c r="S258" i="5"/>
  <c r="S78" i="5"/>
  <c r="S158" i="5"/>
  <c r="S80" i="5"/>
  <c r="S99" i="5"/>
  <c r="S254" i="5"/>
  <c r="S192" i="5"/>
  <c r="S26" i="5"/>
  <c r="S297" i="5"/>
  <c r="S275" i="5"/>
  <c r="S189" i="5"/>
  <c r="S341" i="5"/>
  <c r="S199" i="5"/>
  <c r="S337" i="5"/>
  <c r="S91" i="5"/>
  <c r="S308" i="5"/>
  <c r="S72" i="5"/>
  <c r="S147" i="5"/>
  <c r="S342" i="5"/>
  <c r="S214" i="5"/>
  <c r="S197" i="5"/>
  <c r="S267" i="5"/>
  <c r="S53" i="5"/>
  <c r="S12" i="5"/>
  <c r="S246" i="5"/>
  <c r="S6" i="5"/>
  <c r="S242" i="5"/>
  <c r="S266" i="5"/>
  <c r="S215" i="5"/>
  <c r="S155" i="5"/>
  <c r="S237" i="5"/>
  <c r="S27" i="5"/>
  <c r="S219" i="5"/>
  <c r="S316" i="5"/>
  <c r="S326" i="5"/>
  <c r="S229" i="5"/>
  <c r="S94" i="5"/>
  <c r="S65" i="5"/>
  <c r="S291" i="5"/>
  <c r="S232" i="5"/>
  <c r="S230" i="5"/>
  <c r="S179" i="5"/>
  <c r="S259" i="5"/>
  <c r="S64" i="5"/>
  <c r="S52" i="5"/>
  <c r="S231" i="5"/>
  <c r="S79" i="5"/>
  <c r="S217" i="5"/>
  <c r="S224" i="5"/>
  <c r="S33" i="5"/>
  <c r="S70" i="5"/>
  <c r="S281" i="5"/>
  <c r="S221" i="5"/>
  <c r="S16" i="5"/>
  <c r="S37" i="5"/>
  <c r="S310" i="5"/>
  <c r="S272" i="5"/>
  <c r="S190" i="5"/>
  <c r="S257" i="5"/>
  <c r="S248" i="5"/>
  <c r="S187" i="5"/>
  <c r="S285" i="5"/>
  <c r="S97" i="5"/>
  <c r="S164" i="5"/>
  <c r="S296" i="5"/>
  <c r="S218" i="5"/>
  <c r="S138" i="5"/>
  <c r="S168" i="5"/>
  <c r="S112" i="5"/>
  <c r="S329" i="5"/>
  <c r="S88" i="5"/>
  <c r="S322" i="5"/>
  <c r="S320" i="5"/>
  <c r="S62" i="5"/>
  <c r="S301" i="5"/>
  <c r="S142" i="5"/>
  <c r="S283" i="5"/>
  <c r="S43" i="5"/>
  <c r="S127" i="5"/>
  <c r="S61" i="5"/>
  <c r="S106" i="5"/>
  <c r="S45" i="5"/>
  <c r="S165" i="5"/>
  <c r="S76" i="5"/>
  <c r="S288" i="5"/>
  <c r="S328" i="5"/>
  <c r="S193" i="5"/>
  <c r="S81" i="5"/>
  <c r="S238" i="5"/>
  <c r="S90" i="5"/>
  <c r="S63" i="5"/>
  <c r="S186" i="5"/>
  <c r="S245" i="5"/>
  <c r="S119" i="5"/>
  <c r="S71" i="5"/>
  <c r="S347" i="5"/>
  <c r="S228" i="5"/>
  <c r="S299" i="5"/>
  <c r="S68" i="5"/>
  <c r="S198" i="5"/>
  <c r="S313" i="5"/>
  <c r="S250" i="5"/>
  <c r="S139" i="5"/>
  <c r="S115" i="5"/>
  <c r="S225" i="5"/>
  <c r="S51" i="5"/>
  <c r="S280" i="5"/>
  <c r="S306" i="5"/>
  <c r="S135" i="5"/>
  <c r="S327" i="5"/>
  <c r="S117" i="5"/>
  <c r="S180" i="5"/>
  <c r="S102" i="5"/>
  <c r="S38" i="5"/>
  <c r="S31" i="5"/>
  <c r="S87" i="5"/>
  <c r="S222" i="5"/>
  <c r="S170" i="5"/>
  <c r="S56" i="5"/>
  <c r="S261" i="5"/>
  <c r="S345" i="5"/>
  <c r="S293" i="5"/>
  <c r="S338" i="5"/>
  <c r="S161" i="5"/>
  <c r="S9" i="5"/>
  <c r="S48" i="5"/>
  <c r="S319" i="5"/>
  <c r="S263" i="5"/>
  <c r="S47" i="5"/>
  <c r="S167" i="5"/>
  <c r="S75" i="5"/>
  <c r="S67" i="5"/>
  <c r="S318" i="5"/>
  <c r="S14" i="5"/>
  <c r="S202" i="5"/>
  <c r="S270" i="5"/>
  <c r="S130" i="5"/>
  <c r="S277" i="5"/>
  <c r="S249" i="5"/>
  <c r="S274" i="5"/>
  <c r="S152" i="5"/>
  <c r="S173" i="5"/>
  <c r="S181" i="5"/>
  <c r="S276" i="5"/>
  <c r="S84" i="5"/>
  <c r="S289" i="5"/>
  <c r="S105" i="5"/>
  <c r="S335" i="5"/>
  <c r="S162" i="5"/>
  <c r="S59" i="5"/>
  <c r="S150" i="5"/>
  <c r="S108" i="5"/>
  <c r="S107" i="5"/>
  <c r="S191" i="5"/>
  <c r="S172" i="5"/>
  <c r="S66" i="5"/>
  <c r="S15" i="5"/>
  <c r="S19" i="5"/>
  <c r="S346" i="5"/>
  <c r="S154" i="5"/>
  <c r="S216" i="5"/>
  <c r="S240" i="5"/>
  <c r="S227" i="5"/>
  <c r="S129" i="5"/>
  <c r="C7" i="6" l="1"/>
  <c r="I2092" i="5"/>
  <c r="J2092" i="5"/>
  <c r="F1516" i="5"/>
  <c r="J1516" i="5"/>
  <c r="R1516" i="5"/>
  <c r="I2308" i="5"/>
  <c r="R2308" i="5"/>
  <c r="F2308" i="5"/>
  <c r="E2308" i="5"/>
  <c r="X2308" i="5" s="1"/>
  <c r="J1396" i="5"/>
  <c r="F1396" i="5"/>
  <c r="I1396" i="5"/>
  <c r="R1396" i="5"/>
  <c r="E1851" i="5"/>
  <c r="X1851" i="5" s="1"/>
  <c r="H1851" i="5"/>
  <c r="G1851" i="5"/>
  <c r="J1851" i="5"/>
  <c r="F1818" i="5"/>
  <c r="J1818" i="5"/>
  <c r="E1602" i="5"/>
  <c r="X1602" i="5" s="1"/>
  <c r="G1602" i="5"/>
  <c r="V2488" i="5"/>
  <c r="AB2488" i="5"/>
  <c r="R2464" i="5"/>
  <c r="H2464" i="5"/>
  <c r="F2464" i="5"/>
  <c r="AB2440" i="5"/>
  <c r="V2440" i="5"/>
  <c r="AB2428" i="5"/>
  <c r="V2428" i="5"/>
  <c r="V2392" i="5"/>
  <c r="AB2392" i="5"/>
  <c r="V2380" i="5"/>
  <c r="R2380" i="5" s="1"/>
  <c r="AB2380" i="5"/>
  <c r="V2356" i="5"/>
  <c r="G2356" i="5"/>
  <c r="R2320" i="5"/>
  <c r="I2320" i="5"/>
  <c r="H2320" i="5"/>
  <c r="J2320" i="5"/>
  <c r="AB2296" i="5"/>
  <c r="V2296" i="5"/>
  <c r="AB2284" i="5"/>
  <c r="V2284" i="5"/>
  <c r="V2260" i="5"/>
  <c r="J2260" i="5" s="1"/>
  <c r="AB2260" i="5"/>
  <c r="V2224" i="5"/>
  <c r="AB2224" i="5"/>
  <c r="V2212" i="5"/>
  <c r="AB2212" i="5"/>
  <c r="V2200" i="5"/>
  <c r="AB2200" i="5"/>
  <c r="E2176" i="5"/>
  <c r="X2176" i="5" s="1"/>
  <c r="R2176" i="5"/>
  <c r="G2164" i="5"/>
  <c r="E2164" i="5"/>
  <c r="X2164" i="5" s="1"/>
  <c r="F2164" i="5"/>
  <c r="F2128" i="5"/>
  <c r="J2128" i="5"/>
  <c r="I2128" i="5"/>
  <c r="H2128" i="5"/>
  <c r="AB2116" i="5"/>
  <c r="V2116" i="5"/>
  <c r="I2104" i="5"/>
  <c r="R2104" i="5"/>
  <c r="F2104" i="5"/>
  <c r="AB2080" i="5"/>
  <c r="V2080" i="5"/>
  <c r="AB2068" i="5"/>
  <c r="V2068" i="5"/>
  <c r="V2032" i="5"/>
  <c r="J2032" i="5" s="1"/>
  <c r="AB2032" i="5"/>
  <c r="J1996" i="5"/>
  <c r="R1996" i="5"/>
  <c r="F1996" i="5"/>
  <c r="AB1972" i="5"/>
  <c r="V1972" i="5"/>
  <c r="H1960" i="5"/>
  <c r="I1960" i="5"/>
  <c r="F1960" i="5"/>
  <c r="AB1948" i="5"/>
  <c r="V1948" i="5"/>
  <c r="V1936" i="5"/>
  <c r="E1936" i="5" s="1"/>
  <c r="X1936" i="5" s="1"/>
  <c r="AB1936" i="5"/>
  <c r="V1912" i="5"/>
  <c r="AB1912" i="5"/>
  <c r="V1900" i="5"/>
  <c r="AB1900" i="5"/>
  <c r="AB1876" i="5"/>
  <c r="G1876" i="5"/>
  <c r="H1840" i="5"/>
  <c r="R1840" i="5"/>
  <c r="V1828" i="5"/>
  <c r="R1828" i="5" s="1"/>
  <c r="AB1828" i="5"/>
  <c r="V1816" i="5"/>
  <c r="I1816" i="5" s="1"/>
  <c r="AB1816" i="5"/>
  <c r="E1792" i="5"/>
  <c r="X1792" i="5" s="1"/>
  <c r="R1792" i="5"/>
  <c r="J1792" i="5"/>
  <c r="V1780" i="5"/>
  <c r="AB1780" i="5"/>
  <c r="V1768" i="5"/>
  <c r="AB1768" i="5"/>
  <c r="AB1756" i="5"/>
  <c r="V1756" i="5"/>
  <c r="V1720" i="5"/>
  <c r="AB1720" i="5"/>
  <c r="AB1708" i="5"/>
  <c r="V1708" i="5"/>
  <c r="V1696" i="5"/>
  <c r="AB1696" i="5"/>
  <c r="AB1684" i="5"/>
  <c r="V1684" i="5"/>
  <c r="V1672" i="5"/>
  <c r="AB1672" i="5"/>
  <c r="I1624" i="5"/>
  <c r="R1624" i="5"/>
  <c r="V1612" i="5"/>
  <c r="AB1612" i="5"/>
  <c r="J1588" i="5"/>
  <c r="H1588" i="5"/>
  <c r="AB1480" i="5"/>
  <c r="V1480" i="5"/>
  <c r="V1468" i="5"/>
  <c r="AB1468" i="5"/>
  <c r="V1432" i="5"/>
  <c r="AB1432" i="5"/>
  <c r="V1420" i="5"/>
  <c r="AB1420" i="5"/>
  <c r="V1336" i="5"/>
  <c r="I1336" i="5" s="1"/>
  <c r="AB1336" i="5"/>
  <c r="J1324" i="5"/>
  <c r="F1324" i="5"/>
  <c r="V1312" i="5"/>
  <c r="AB1312" i="5"/>
  <c r="AB1300" i="5"/>
  <c r="V1300" i="5"/>
  <c r="I1252" i="5"/>
  <c r="H1252" i="5"/>
  <c r="J1252" i="5"/>
  <c r="F1252" i="5"/>
  <c r="V1240" i="5"/>
  <c r="E1240" i="5" s="1"/>
  <c r="X1240" i="5" s="1"/>
  <c r="AB1240" i="5"/>
  <c r="V1228" i="5"/>
  <c r="AB1228" i="5"/>
  <c r="V1216" i="5"/>
  <c r="J1216" i="5" s="1"/>
  <c r="AB1216" i="5"/>
  <c r="AB1192" i="5"/>
  <c r="V1192" i="5"/>
  <c r="H1192" i="5" s="1"/>
  <c r="T2478" i="5"/>
  <c r="AB2478" i="5"/>
  <c r="T2455" i="5"/>
  <c r="S2455" i="5"/>
  <c r="T2443" i="5"/>
  <c r="S2443" i="5"/>
  <c r="T2431" i="5"/>
  <c r="S2431" i="5"/>
  <c r="T2103" i="5"/>
  <c r="S2103" i="5"/>
  <c r="T2092" i="5"/>
  <c r="AB2092" i="5"/>
  <c r="S2092" i="5"/>
  <c r="T2082" i="5"/>
  <c r="AB2082" i="5"/>
  <c r="T1885" i="5"/>
  <c r="S1885" i="5"/>
  <c r="T1862" i="5"/>
  <c r="AB1862" i="5"/>
  <c r="T1817" i="5"/>
  <c r="AB1817" i="5"/>
  <c r="T1210" i="5"/>
  <c r="AB1210" i="5"/>
  <c r="T1199" i="5"/>
  <c r="S1199" i="5"/>
  <c r="T1170" i="5"/>
  <c r="S1170" i="5"/>
  <c r="AB1170" i="5"/>
  <c r="T1322" i="5"/>
  <c r="S1322" i="5"/>
  <c r="AB1322" i="5"/>
  <c r="R1310" i="5"/>
  <c r="F1444" i="5"/>
  <c r="R1540" i="5"/>
  <c r="I1602" i="5"/>
  <c r="I2430" i="5"/>
  <c r="F1600" i="5"/>
  <c r="F2250" i="5"/>
  <c r="H1183" i="5"/>
  <c r="I2143" i="5"/>
  <c r="I1616" i="5"/>
  <c r="J2298" i="5"/>
  <c r="R1348" i="5"/>
  <c r="J1566" i="5"/>
  <c r="I1804" i="5"/>
  <c r="H2427" i="5"/>
  <c r="J1552" i="5"/>
  <c r="I1852" i="5"/>
  <c r="R2199" i="5"/>
  <c r="J1770" i="5"/>
  <c r="S2478" i="5"/>
  <c r="F2199" i="5"/>
  <c r="AB2140" i="5"/>
  <c r="H2248" i="5"/>
  <c r="R1960" i="5"/>
  <c r="AB1588" i="5"/>
  <c r="AB1885" i="5"/>
  <c r="F1840" i="5"/>
  <c r="S1186" i="5"/>
  <c r="AB1276" i="5"/>
  <c r="V2404" i="5"/>
  <c r="V2368" i="5"/>
  <c r="R2368" i="5" s="1"/>
  <c r="E2335" i="5"/>
  <c r="X2335" i="5" s="1"/>
  <c r="G2335" i="5"/>
  <c r="E2276" i="5"/>
  <c r="X2276" i="5" s="1"/>
  <c r="R2276" i="5"/>
  <c r="F2276" i="5"/>
  <c r="E2198" i="5"/>
  <c r="X2198" i="5" s="1"/>
  <c r="G2198" i="5"/>
  <c r="I2198" i="5"/>
  <c r="V1876" i="5"/>
  <c r="H1739" i="5"/>
  <c r="I1739" i="5"/>
  <c r="V1636" i="5"/>
  <c r="V1564" i="5"/>
  <c r="AB2443" i="5"/>
  <c r="F1935" i="5"/>
  <c r="J1264" i="5"/>
  <c r="I1996" i="5"/>
  <c r="AB1324" i="5"/>
  <c r="AB1168" i="5"/>
  <c r="F2310" i="5"/>
  <c r="I2310" i="5"/>
  <c r="R2310" i="5"/>
  <c r="E1539" i="5"/>
  <c r="X1539" i="5" s="1"/>
  <c r="H1539" i="5"/>
  <c r="G1539" i="5"/>
  <c r="R1539" i="5"/>
  <c r="I1539" i="5"/>
  <c r="F1310" i="5"/>
  <c r="F1540" i="5"/>
  <c r="J1602" i="5"/>
  <c r="J2430" i="5"/>
  <c r="H1600" i="5"/>
  <c r="H2250" i="5"/>
  <c r="H1180" i="5"/>
  <c r="F1707" i="5"/>
  <c r="R1566" i="5"/>
  <c r="J1804" i="5"/>
  <c r="I1384" i="5"/>
  <c r="J1456" i="5"/>
  <c r="H2082" i="5"/>
  <c r="J1852" i="5"/>
  <c r="H1204" i="5"/>
  <c r="F2044" i="5"/>
  <c r="I2199" i="5"/>
  <c r="AB2431" i="5"/>
  <c r="J1840" i="5"/>
  <c r="E2499" i="5"/>
  <c r="E2467" i="5"/>
  <c r="X2467" i="5" s="1"/>
  <c r="I2467" i="5"/>
  <c r="V2188" i="5"/>
  <c r="J1902" i="5"/>
  <c r="I1902" i="5"/>
  <c r="F1902" i="5"/>
  <c r="R1902" i="5"/>
  <c r="H1902" i="5"/>
  <c r="E1635" i="5"/>
  <c r="X1635" i="5" s="1"/>
  <c r="G1635" i="5"/>
  <c r="E1275" i="5"/>
  <c r="X1275" i="5" s="1"/>
  <c r="G1275" i="5"/>
  <c r="E1196" i="5"/>
  <c r="X1196" i="5" s="1"/>
  <c r="J1196" i="5"/>
  <c r="F1196" i="5"/>
  <c r="T1548" i="5"/>
  <c r="AB1548" i="5"/>
  <c r="S1548" i="5"/>
  <c r="T1516" i="5"/>
  <c r="AB1516" i="5"/>
  <c r="R2342" i="5"/>
  <c r="S1817" i="5"/>
  <c r="AB1408" i="5"/>
  <c r="E2298" i="5"/>
  <c r="X2298" i="5" s="1"/>
  <c r="G2298" i="5"/>
  <c r="F1851" i="5"/>
  <c r="R2164" i="5"/>
  <c r="R1851" i="5"/>
  <c r="F1504" i="5"/>
  <c r="S1210" i="5"/>
  <c r="R1718" i="5"/>
  <c r="F1792" i="5"/>
  <c r="R2500" i="5"/>
  <c r="F1599" i="5"/>
  <c r="R1588" i="5"/>
  <c r="H1314" i="5"/>
  <c r="J1528" i="5"/>
  <c r="R1803" i="5"/>
  <c r="I1851" i="5"/>
  <c r="R2499" i="5"/>
  <c r="J2476" i="5"/>
  <c r="J1935" i="5"/>
  <c r="R1815" i="5"/>
  <c r="AB1444" i="5"/>
  <c r="I1324" i="5"/>
  <c r="AB1180" i="5"/>
  <c r="J2342" i="5"/>
  <c r="AB2128" i="5"/>
  <c r="AB2104" i="5"/>
  <c r="E2487" i="5"/>
  <c r="X2487" i="5" s="1"/>
  <c r="R2487" i="5"/>
  <c r="F2419" i="5"/>
  <c r="H2419" i="5"/>
  <c r="E2210" i="5"/>
  <c r="X2210" i="5" s="1"/>
  <c r="F2210" i="5"/>
  <c r="V2020" i="5"/>
  <c r="J2020" i="5" s="1"/>
  <c r="E1994" i="5"/>
  <c r="X1994" i="5" s="1"/>
  <c r="I1994" i="5"/>
  <c r="V1864" i="5"/>
  <c r="E1340" i="5"/>
  <c r="X1340" i="5" s="1"/>
  <c r="G1340" i="5"/>
  <c r="H1683" i="5"/>
  <c r="I1743" i="5"/>
  <c r="I1660" i="5"/>
  <c r="J1995" i="5"/>
  <c r="H1995" i="5"/>
  <c r="F1995" i="5"/>
  <c r="V1888" i="5"/>
  <c r="V1576" i="5"/>
  <c r="R1743" i="5"/>
  <c r="R1302" i="5"/>
  <c r="H1792" i="5"/>
  <c r="H1599" i="5"/>
  <c r="F1803" i="5"/>
  <c r="F2320" i="5"/>
  <c r="R1935" i="5"/>
  <c r="AB2476" i="5"/>
  <c r="AB1348" i="5"/>
  <c r="E2262" i="5"/>
  <c r="X2262" i="5" s="1"/>
  <c r="G2262" i="5"/>
  <c r="V2236" i="5"/>
  <c r="J2204" i="5"/>
  <c r="R2204" i="5"/>
  <c r="F2204" i="5"/>
  <c r="G2178" i="5"/>
  <c r="H2178" i="5"/>
  <c r="R2178" i="5"/>
  <c r="F2178" i="5"/>
  <c r="I2178" i="5"/>
  <c r="J2178" i="5"/>
  <c r="G1992" i="5"/>
  <c r="J1992" i="5"/>
  <c r="F1992" i="5"/>
  <c r="E1962" i="5"/>
  <c r="X1962" i="5" s="1"/>
  <c r="G1962" i="5"/>
  <c r="J1926" i="5"/>
  <c r="I1926" i="5"/>
  <c r="E1400" i="5"/>
  <c r="X1400" i="5" s="1"/>
  <c r="G1400" i="5"/>
  <c r="F1400" i="5"/>
  <c r="G2499" i="5"/>
  <c r="I2499" i="5"/>
  <c r="J2499" i="5"/>
  <c r="R2306" i="5"/>
  <c r="F2306" i="5"/>
  <c r="R2272" i="5"/>
  <c r="I2272" i="5"/>
  <c r="E1999" i="5"/>
  <c r="X1999" i="5" s="1"/>
  <c r="I1999" i="5"/>
  <c r="H1999" i="5"/>
  <c r="J1999" i="5"/>
  <c r="H1899" i="5"/>
  <c r="I1899" i="5"/>
  <c r="E1662" i="5"/>
  <c r="X1662" i="5" s="1"/>
  <c r="I1662" i="5"/>
  <c r="F1419" i="5"/>
  <c r="R1419" i="5"/>
  <c r="F1314" i="5"/>
  <c r="J1314" i="5"/>
  <c r="T1638" i="5"/>
  <c r="S1638" i="5"/>
  <c r="T1528" i="5"/>
  <c r="S1528" i="5"/>
  <c r="T1196" i="5"/>
  <c r="AB1196" i="5"/>
  <c r="F1602" i="5"/>
  <c r="J1600" i="5"/>
  <c r="I1707" i="5"/>
  <c r="F1456" i="5"/>
  <c r="J2082" i="5"/>
  <c r="I2306" i="5"/>
  <c r="S2082" i="5"/>
  <c r="H1818" i="5"/>
  <c r="AB1660" i="5"/>
  <c r="G1700" i="5"/>
  <c r="I1700" i="5"/>
  <c r="E1454" i="5"/>
  <c r="X1454" i="5" s="1"/>
  <c r="I1454" i="5"/>
  <c r="T1649" i="5"/>
  <c r="AB1649" i="5"/>
  <c r="S1649" i="5"/>
  <c r="S1195" i="5"/>
  <c r="T1195" i="5"/>
  <c r="AB1195" i="5"/>
  <c r="F1683" i="5"/>
  <c r="F2324" i="5"/>
  <c r="G2324" i="5"/>
  <c r="I2324" i="5"/>
  <c r="J2324" i="5"/>
  <c r="G1971" i="5"/>
  <c r="R1971" i="5"/>
  <c r="F1971" i="5"/>
  <c r="V1372" i="5"/>
  <c r="J1718" i="5"/>
  <c r="F1662" i="5"/>
  <c r="I1588" i="5"/>
  <c r="J1803" i="5"/>
  <c r="R1818" i="5"/>
  <c r="AB1496" i="5"/>
  <c r="AB1492" i="5"/>
  <c r="J1302" i="5"/>
  <c r="I1683" i="5"/>
  <c r="I2164" i="5"/>
  <c r="J1183" i="5"/>
  <c r="H1718" i="5"/>
  <c r="H1660" i="5"/>
  <c r="J1204" i="5"/>
  <c r="H2310" i="5"/>
  <c r="J1960" i="5"/>
  <c r="AB1396" i="5"/>
  <c r="J1539" i="5"/>
  <c r="E2286" i="5"/>
  <c r="X2286" i="5" s="1"/>
  <c r="R2286" i="5"/>
  <c r="R2150" i="5"/>
  <c r="J2150" i="5"/>
  <c r="F2150" i="5"/>
  <c r="E1442" i="5"/>
  <c r="X1442" i="5" s="1"/>
  <c r="F1442" i="5"/>
  <c r="R1442" i="5"/>
  <c r="H1442" i="5"/>
  <c r="J1442" i="5"/>
  <c r="G1254" i="5"/>
  <c r="E1254" i="5"/>
  <c r="X1254" i="5" s="1"/>
  <c r="AB1264" i="5"/>
  <c r="V1732" i="5"/>
  <c r="G1732" i="5" s="1"/>
  <c r="T1527" i="5"/>
  <c r="AB1527" i="5"/>
  <c r="S1527" i="5"/>
  <c r="J1707" i="5"/>
  <c r="J1662" i="5"/>
  <c r="F1588" i="5"/>
  <c r="H1456" i="5"/>
  <c r="F2082" i="5"/>
  <c r="AB1840" i="5"/>
  <c r="I1818" i="5"/>
  <c r="AB1996" i="5"/>
  <c r="S1516" i="5"/>
  <c r="E1996" i="5"/>
  <c r="X1996" i="5" s="1"/>
  <c r="T2164" i="5"/>
  <c r="S2164" i="5"/>
  <c r="T2152" i="5"/>
  <c r="AB2152" i="5"/>
  <c r="S2152" i="5"/>
  <c r="T1997" i="5"/>
  <c r="S1997" i="5"/>
  <c r="T1985" i="5"/>
  <c r="AB1985" i="5"/>
  <c r="T1974" i="5"/>
  <c r="S1974" i="5"/>
  <c r="AB1974" i="5"/>
  <c r="T1962" i="5"/>
  <c r="S1962" i="5"/>
  <c r="T1951" i="5"/>
  <c r="AB1951" i="5"/>
  <c r="T1939" i="5"/>
  <c r="S1939" i="5"/>
  <c r="T1927" i="5"/>
  <c r="S1927" i="5"/>
  <c r="T1915" i="5"/>
  <c r="S1915" i="5"/>
  <c r="AB1915" i="5"/>
  <c r="T1903" i="5"/>
  <c r="AB1903" i="5"/>
  <c r="S1903" i="5"/>
  <c r="T1891" i="5"/>
  <c r="AB1891" i="5"/>
  <c r="S1891" i="5"/>
  <c r="T1879" i="5"/>
  <c r="AB1879" i="5"/>
  <c r="T1707" i="5"/>
  <c r="S1707" i="5"/>
  <c r="T1695" i="5"/>
  <c r="AB1695" i="5"/>
  <c r="T1683" i="5"/>
  <c r="S1683" i="5"/>
  <c r="AB1683" i="5"/>
  <c r="T1205" i="5"/>
  <c r="S1205" i="5"/>
  <c r="R1707" i="5"/>
  <c r="F2500" i="5"/>
  <c r="J1599" i="5"/>
  <c r="AB1924" i="5"/>
  <c r="J1815" i="5"/>
  <c r="I1928" i="5"/>
  <c r="F1928" i="5"/>
  <c r="R1928" i="5"/>
  <c r="J1830" i="5"/>
  <c r="H1830" i="5"/>
  <c r="F1830" i="5"/>
  <c r="G1266" i="5"/>
  <c r="E1266" i="5"/>
  <c r="X1266" i="5" s="1"/>
  <c r="I1266" i="5"/>
  <c r="J1683" i="5"/>
  <c r="F1718" i="5"/>
  <c r="H2500" i="5"/>
  <c r="H1266" i="5"/>
  <c r="J2143" i="5"/>
  <c r="I1792" i="5"/>
  <c r="I2500" i="5"/>
  <c r="J1266" i="5"/>
  <c r="I1599" i="5"/>
  <c r="H1310" i="5"/>
  <c r="J2250" i="5"/>
  <c r="R2143" i="5"/>
  <c r="I1718" i="5"/>
  <c r="J1348" i="5"/>
  <c r="R1266" i="5"/>
  <c r="J2427" i="5"/>
  <c r="I2176" i="5"/>
  <c r="J2310" i="5"/>
  <c r="F2454" i="5"/>
  <c r="H2164" i="5"/>
  <c r="J2164" i="5"/>
  <c r="R1204" i="5"/>
  <c r="H2306" i="5"/>
  <c r="AB2176" i="5"/>
  <c r="AB2164" i="5"/>
  <c r="S2009" i="5"/>
  <c r="AB1852" i="5"/>
  <c r="J1454" i="5"/>
  <c r="AB1252" i="5"/>
  <c r="AB1456" i="5"/>
  <c r="S2238" i="5"/>
  <c r="S1862" i="5"/>
  <c r="AB1288" i="5"/>
  <c r="H2499" i="5"/>
  <c r="G1946" i="5"/>
  <c r="G2203" i="5"/>
  <c r="H2203" i="5"/>
  <c r="I2126" i="5"/>
  <c r="F2126" i="5"/>
  <c r="H1613" i="5"/>
  <c r="J1613" i="5"/>
  <c r="T2337" i="5"/>
  <c r="S2337" i="5"/>
  <c r="T2325" i="5"/>
  <c r="S2325" i="5"/>
  <c r="T1387" i="5"/>
  <c r="S1387" i="5"/>
  <c r="V2473" i="5"/>
  <c r="AB2473" i="5"/>
  <c r="V2269" i="5"/>
  <c r="G2269" i="5"/>
  <c r="AB2269" i="5"/>
  <c r="V2149" i="5"/>
  <c r="V2005" i="5"/>
  <c r="AB2005" i="5"/>
  <c r="V1969" i="5"/>
  <c r="G1969" i="5"/>
  <c r="V1957" i="5"/>
  <c r="AB1957" i="5"/>
  <c r="V1933" i="5"/>
  <c r="G1933" i="5" s="1"/>
  <c r="R1873" i="5"/>
  <c r="F1873" i="5"/>
  <c r="V1837" i="5"/>
  <c r="AB1837" i="5"/>
  <c r="V1813" i="5"/>
  <c r="AB1813" i="5"/>
  <c r="E1645" i="5"/>
  <c r="X1645" i="5" s="1"/>
  <c r="J1645" i="5"/>
  <c r="V1633" i="5"/>
  <c r="G1633" i="5"/>
  <c r="V1585" i="5"/>
  <c r="AB1585" i="5"/>
  <c r="V1561" i="5"/>
  <c r="AB1561" i="5"/>
  <c r="V1549" i="5"/>
  <c r="H1549" i="5" s="1"/>
  <c r="AB1549" i="5"/>
  <c r="V1477" i="5"/>
  <c r="G1477" i="5" s="1"/>
  <c r="V1189" i="5"/>
  <c r="AB1189" i="5"/>
  <c r="T2452" i="5"/>
  <c r="S2452" i="5"/>
  <c r="AB2452" i="5"/>
  <c r="T1486" i="5"/>
  <c r="S1486" i="5"/>
  <c r="AB1486" i="5"/>
  <c r="T1419" i="5"/>
  <c r="S1419" i="5"/>
  <c r="T2356" i="5"/>
  <c r="AB2356" i="5"/>
  <c r="T2344" i="5"/>
  <c r="AB2344" i="5"/>
  <c r="S2344" i="5"/>
  <c r="T2332" i="5"/>
  <c r="AB2332" i="5"/>
  <c r="T2096" i="5"/>
  <c r="AB2096" i="5"/>
  <c r="T2054" i="5"/>
  <c r="S2054" i="5"/>
  <c r="T2042" i="5"/>
  <c r="S2042" i="5"/>
  <c r="T2008" i="5"/>
  <c r="AB2008" i="5"/>
  <c r="T1961" i="5"/>
  <c r="AB1961" i="5"/>
  <c r="S1961" i="5"/>
  <c r="T1938" i="5"/>
  <c r="AB1938" i="5"/>
  <c r="T1914" i="5"/>
  <c r="AB1914" i="5"/>
  <c r="T1286" i="5"/>
  <c r="S1286" i="5"/>
  <c r="AB1286" i="5"/>
  <c r="T1266" i="5"/>
  <c r="S1266" i="5"/>
  <c r="F2270" i="5"/>
  <c r="E2475" i="5"/>
  <c r="X2475" i="5" s="1"/>
  <c r="J2475" i="5"/>
  <c r="G2271" i="5"/>
  <c r="F2271" i="5"/>
  <c r="I2162" i="5"/>
  <c r="F2162" i="5"/>
  <c r="J1766" i="5"/>
  <c r="G1766" i="5"/>
  <c r="T2471" i="5"/>
  <c r="S2471" i="5"/>
  <c r="T2459" i="5"/>
  <c r="S2459" i="5"/>
  <c r="T2391" i="5"/>
  <c r="AB2391" i="5"/>
  <c r="T2254" i="5"/>
  <c r="S2254" i="5"/>
  <c r="T2243" i="5"/>
  <c r="S2243" i="5"/>
  <c r="T2232" i="5"/>
  <c r="S2232" i="5"/>
  <c r="AB2232" i="5"/>
  <c r="T2220" i="5"/>
  <c r="S2220" i="5"/>
  <c r="AB2220" i="5"/>
  <c r="T2197" i="5"/>
  <c r="S2197" i="5"/>
  <c r="T1611" i="5"/>
  <c r="AB1611" i="5"/>
  <c r="T1557" i="5"/>
  <c r="S1557" i="5"/>
  <c r="T1545" i="5"/>
  <c r="S1545" i="5"/>
  <c r="T1504" i="5"/>
  <c r="AB1504" i="5"/>
  <c r="T1305" i="5"/>
  <c r="S1305" i="5"/>
  <c r="T1296" i="5"/>
  <c r="S1296" i="5"/>
  <c r="H2247" i="5"/>
  <c r="F2247" i="5"/>
  <c r="E1983" i="5"/>
  <c r="X1983" i="5" s="1"/>
  <c r="R1983" i="5"/>
  <c r="T2502" i="5"/>
  <c r="S2502" i="5"/>
  <c r="T1381" i="5"/>
  <c r="S1381" i="5"/>
  <c r="T1359" i="5"/>
  <c r="S1359" i="5"/>
  <c r="J2247" i="5"/>
  <c r="J1983" i="5"/>
  <c r="G2156" i="5"/>
  <c r="I2156" i="5"/>
  <c r="H2156" i="5"/>
  <c r="E1658" i="5"/>
  <c r="X1658" i="5" s="1"/>
  <c r="G1658" i="5"/>
  <c r="S1761" i="5"/>
  <c r="T1761" i="5"/>
  <c r="T1726" i="5"/>
  <c r="S1726" i="5"/>
  <c r="T1715" i="5"/>
  <c r="S1715" i="5"/>
  <c r="T1703" i="5"/>
  <c r="S1703" i="5"/>
  <c r="T1691" i="5"/>
  <c r="S1691" i="5"/>
  <c r="T1423" i="5"/>
  <c r="AB1423" i="5"/>
  <c r="G1983" i="5"/>
  <c r="E2468" i="5"/>
  <c r="X2468" i="5" s="1"/>
  <c r="G2468" i="5"/>
  <c r="G2007" i="5"/>
  <c r="E2007" i="5"/>
  <c r="X2007" i="5" s="1"/>
  <c r="R2007" i="5"/>
  <c r="F1976" i="5"/>
  <c r="I1976" i="5"/>
  <c r="J1913" i="5"/>
  <c r="F1913" i="5"/>
  <c r="G1878" i="5"/>
  <c r="E1878" i="5"/>
  <c r="X1878" i="5" s="1"/>
  <c r="I1878" i="5"/>
  <c r="R1878" i="5"/>
  <c r="F1357" i="5"/>
  <c r="H1357" i="5"/>
  <c r="I2177" i="5"/>
  <c r="R2177" i="5"/>
  <c r="J2177" i="5"/>
  <c r="T2318" i="5"/>
  <c r="S2318" i="5"/>
  <c r="T2308" i="5"/>
  <c r="S2308" i="5"/>
  <c r="AB2308" i="5"/>
  <c r="T2262" i="5"/>
  <c r="S2262" i="5"/>
  <c r="E2319" i="5"/>
  <c r="X2319" i="5" s="1"/>
  <c r="G2319" i="5"/>
  <c r="E1998" i="5"/>
  <c r="X1998" i="5" s="1"/>
  <c r="E1914" i="5"/>
  <c r="X1914" i="5" s="1"/>
  <c r="T2480" i="5"/>
  <c r="AB2480" i="5"/>
  <c r="S2480" i="5"/>
  <c r="T2365" i="5"/>
  <c r="AB2196" i="5"/>
  <c r="T2196" i="5"/>
  <c r="T2107" i="5"/>
  <c r="S2107" i="5"/>
  <c r="T1798" i="5"/>
  <c r="S1798" i="5"/>
  <c r="T1776" i="5"/>
  <c r="S1776" i="5"/>
  <c r="T1310" i="5"/>
  <c r="AB1310" i="5"/>
  <c r="I1491" i="5"/>
  <c r="E1491" i="5"/>
  <c r="X1491" i="5" s="1"/>
  <c r="G1491" i="5"/>
  <c r="J1491" i="5"/>
  <c r="E1299" i="5"/>
  <c r="X1299" i="5" s="1"/>
  <c r="G1299" i="5"/>
  <c r="V2477" i="5"/>
  <c r="AB2477" i="5"/>
  <c r="J2261" i="5"/>
  <c r="F2261" i="5"/>
  <c r="V2117" i="5"/>
  <c r="G2117" i="5"/>
  <c r="AB2069" i="5"/>
  <c r="V2069" i="5"/>
  <c r="V2045" i="5"/>
  <c r="G2045" i="5"/>
  <c r="V2021" i="5"/>
  <c r="G2021" i="5"/>
  <c r="E1649" i="5"/>
  <c r="X1649" i="5" s="1"/>
  <c r="I1649" i="5"/>
  <c r="V1565" i="5"/>
  <c r="G1565" i="5" s="1"/>
  <c r="V1529" i="5"/>
  <c r="G1529" i="5"/>
  <c r="AB1529" i="5"/>
  <c r="V1445" i="5"/>
  <c r="G1445" i="5"/>
  <c r="AB1313" i="5"/>
  <c r="V1313" i="5"/>
  <c r="E1229" i="5"/>
  <c r="X1229" i="5" s="1"/>
  <c r="F1229" i="5"/>
  <c r="T2420" i="5"/>
  <c r="S2420" i="5"/>
  <c r="T2149" i="5"/>
  <c r="S2149" i="5"/>
  <c r="T2064" i="5"/>
  <c r="S2064" i="5"/>
  <c r="T1786" i="5"/>
  <c r="S1786" i="5"/>
  <c r="S1460" i="5"/>
  <c r="T1460" i="5"/>
  <c r="T1427" i="5"/>
  <c r="S1427" i="5"/>
  <c r="G2129" i="5"/>
  <c r="G1467" i="5"/>
  <c r="G1407" i="5"/>
  <c r="T1576" i="5"/>
  <c r="S1576" i="5"/>
  <c r="T1445" i="5"/>
  <c r="S1445" i="5"/>
  <c r="T1326" i="5"/>
  <c r="S1326" i="5"/>
  <c r="T1295" i="5"/>
  <c r="S1295" i="5"/>
  <c r="T1499" i="5"/>
  <c r="S1499" i="5"/>
  <c r="AB2302" i="5"/>
  <c r="AB2194" i="5"/>
  <c r="V2194" i="5"/>
  <c r="E2194" i="5" s="1"/>
  <c r="X2194" i="5" s="1"/>
  <c r="V2122" i="5"/>
  <c r="F2122" i="5" s="1"/>
  <c r="AB1186" i="5"/>
  <c r="V1174" i="5"/>
  <c r="G1174" i="5"/>
  <c r="T2022" i="5"/>
  <c r="AB2022" i="5"/>
  <c r="T1976" i="5"/>
  <c r="AB1976" i="5"/>
  <c r="T1905" i="5"/>
  <c r="S1905" i="5"/>
  <c r="T1881" i="5"/>
  <c r="S1881" i="5"/>
  <c r="T1262" i="5"/>
  <c r="S1262" i="5"/>
  <c r="AB1262" i="5"/>
  <c r="T1252" i="5"/>
  <c r="S1252" i="5"/>
  <c r="T1234" i="5"/>
  <c r="S1234" i="5"/>
  <c r="T1222" i="5"/>
  <c r="AB1222" i="5"/>
  <c r="T2460" i="5"/>
  <c r="S2460" i="5"/>
  <c r="T2380" i="5"/>
  <c r="S2380" i="5"/>
  <c r="T2177" i="5"/>
  <c r="AB2177" i="5"/>
  <c r="T2165" i="5"/>
  <c r="S2165" i="5"/>
  <c r="T1940" i="5"/>
  <c r="AB1940" i="5"/>
  <c r="T1880" i="5"/>
  <c r="AB1880" i="5"/>
  <c r="S1880" i="5"/>
  <c r="T1475" i="5"/>
  <c r="S1475" i="5"/>
  <c r="AB1409" i="5"/>
  <c r="T1292" i="5"/>
  <c r="AB1292" i="5"/>
  <c r="V2100" i="5"/>
  <c r="AB2064" i="5"/>
  <c r="V1536" i="5"/>
  <c r="G1536" i="5"/>
  <c r="V1236" i="5"/>
  <c r="G1236" i="5" s="1"/>
  <c r="AB2439" i="5"/>
  <c r="T2439" i="5"/>
  <c r="T2282" i="5"/>
  <c r="AB2282" i="5"/>
  <c r="T1828" i="5"/>
  <c r="S1828" i="5"/>
  <c r="T1749" i="5"/>
  <c r="S1749" i="5"/>
  <c r="T1289" i="5"/>
  <c r="AB1289" i="5"/>
  <c r="T1280" i="5"/>
  <c r="AB1280" i="5"/>
  <c r="E2291" i="5"/>
  <c r="X2291" i="5" s="1"/>
  <c r="H2291" i="5"/>
  <c r="AB2075" i="5"/>
  <c r="T2404" i="5"/>
  <c r="S2404" i="5"/>
  <c r="T2370" i="5"/>
  <c r="S2370" i="5"/>
  <c r="T2293" i="5"/>
  <c r="S2293" i="5"/>
  <c r="T1425" i="5"/>
  <c r="S1425" i="5"/>
  <c r="T1339" i="5"/>
  <c r="S1339" i="5"/>
  <c r="T1228" i="5"/>
  <c r="S1228" i="5"/>
  <c r="T2235" i="5"/>
  <c r="S2235" i="5"/>
  <c r="T1533" i="5"/>
  <c r="S1533" i="5"/>
  <c r="T1370" i="5"/>
  <c r="S1370" i="5"/>
  <c r="T1842" i="5"/>
  <c r="S1842" i="5"/>
  <c r="S1899" i="5"/>
  <c r="S2427" i="5"/>
  <c r="G2412" i="5"/>
  <c r="E2370" i="5"/>
  <c r="X2370" i="5" s="1"/>
  <c r="G2370" i="5"/>
  <c r="I2263" i="5"/>
  <c r="E2263" i="5"/>
  <c r="X2263" i="5" s="1"/>
  <c r="T2465" i="5"/>
  <c r="AB2465" i="5"/>
  <c r="S2465" i="5"/>
  <c r="T2015" i="5"/>
  <c r="S2015" i="5"/>
  <c r="T1739" i="5"/>
  <c r="AB1739" i="5"/>
  <c r="T1716" i="5"/>
  <c r="S1716" i="5"/>
  <c r="T1692" i="5"/>
  <c r="S1692" i="5"/>
  <c r="T1525" i="5"/>
  <c r="AB1525" i="5"/>
  <c r="T1505" i="5"/>
  <c r="S1505" i="5"/>
  <c r="T1439" i="5"/>
  <c r="S1439" i="5"/>
  <c r="T1374" i="5"/>
  <c r="S1374" i="5"/>
  <c r="T1271" i="5"/>
  <c r="S1271" i="5"/>
  <c r="G2474" i="5"/>
  <c r="G1994" i="5"/>
  <c r="G1718" i="5"/>
  <c r="G1418" i="5"/>
  <c r="G1202" i="5"/>
  <c r="S2449" i="5"/>
  <c r="T2449" i="5"/>
  <c r="T1231" i="5"/>
  <c r="S1231" i="5"/>
  <c r="G2382" i="5"/>
  <c r="V1806" i="5"/>
  <c r="G1806" i="5" s="1"/>
  <c r="V1470" i="5"/>
  <c r="G1470" i="5"/>
  <c r="AB2277" i="5"/>
  <c r="AB2121" i="5"/>
  <c r="AB2001" i="5"/>
  <c r="AB1773" i="5"/>
  <c r="AB1533" i="5"/>
  <c r="T2440" i="5"/>
  <c r="AB1172" i="5"/>
  <c r="T1180" i="5"/>
  <c r="AB2275" i="5"/>
  <c r="G2263" i="5"/>
  <c r="AB1783" i="5"/>
  <c r="AB1459" i="5"/>
  <c r="AB1219" i="5"/>
  <c r="G2200" i="5"/>
  <c r="E2200" i="5"/>
  <c r="X2200" i="5" s="1"/>
  <c r="R2200" i="5"/>
  <c r="H2200" i="5"/>
  <c r="I2200" i="5"/>
  <c r="F2200" i="5"/>
  <c r="E1922" i="5"/>
  <c r="X1922" i="5" s="1"/>
  <c r="I1922" i="5"/>
  <c r="G1922" i="5"/>
  <c r="H1215" i="5"/>
  <c r="I1215" i="5"/>
  <c r="E2402" i="5"/>
  <c r="X2402" i="5" s="1"/>
  <c r="G2402" i="5"/>
  <c r="J1170" i="5"/>
  <c r="I1170" i="5"/>
  <c r="T1206" i="5"/>
  <c r="AB1206" i="5"/>
  <c r="S1206" i="5"/>
  <c r="E1190" i="5"/>
  <c r="X1190" i="5" s="1"/>
  <c r="H1190" i="5"/>
  <c r="I1190" i="5"/>
  <c r="S1356" i="5"/>
  <c r="H2368" i="5"/>
  <c r="F2368" i="5"/>
  <c r="H2406" i="5"/>
  <c r="I1744" i="5"/>
  <c r="R1744" i="5"/>
  <c r="J1744" i="5"/>
  <c r="E1448" i="5"/>
  <c r="X1448" i="5" s="1"/>
  <c r="J1448" i="5"/>
  <c r="R1448" i="5"/>
  <c r="F1448" i="5"/>
  <c r="H1395" i="5"/>
  <c r="J1395" i="5"/>
  <c r="I1395" i="5"/>
  <c r="J1363" i="5"/>
  <c r="F1363" i="5"/>
  <c r="G1888" i="5"/>
  <c r="J1888" i="5"/>
  <c r="J2406" i="5"/>
  <c r="I1888" i="5"/>
  <c r="H2492" i="5"/>
  <c r="R2492" i="5"/>
  <c r="F2492" i="5"/>
  <c r="J2402" i="5"/>
  <c r="R1888" i="5"/>
  <c r="R2402" i="5"/>
  <c r="F2216" i="5"/>
  <c r="R2202" i="5"/>
  <c r="F2202" i="5"/>
  <c r="E2163" i="5"/>
  <c r="X2163" i="5" s="1"/>
  <c r="G2163" i="5"/>
  <c r="J2163" i="5"/>
  <c r="R2142" i="5"/>
  <c r="F2142" i="5"/>
  <c r="H2044" i="5"/>
  <c r="R2044" i="5"/>
  <c r="E1924" i="5"/>
  <c r="X1924" i="5" s="1"/>
  <c r="J1924" i="5"/>
  <c r="H1924" i="5"/>
  <c r="F1924" i="5"/>
  <c r="I1892" i="5"/>
  <c r="E1892" i="5"/>
  <c r="X1892" i="5" s="1"/>
  <c r="G1892" i="5"/>
  <c r="J1892" i="5"/>
  <c r="H1892" i="5"/>
  <c r="R1892" i="5"/>
  <c r="G1634" i="5"/>
  <c r="R1634" i="5"/>
  <c r="J1634" i="5"/>
  <c r="G1610" i="5"/>
  <c r="E1610" i="5"/>
  <c r="X1610" i="5" s="1"/>
  <c r="F1610" i="5"/>
  <c r="H1610" i="5"/>
  <c r="H1552" i="5"/>
  <c r="I1552" i="5"/>
  <c r="F1552" i="5"/>
  <c r="H1528" i="5"/>
  <c r="I1528" i="5"/>
  <c r="F1528" i="5"/>
  <c r="E1472" i="5"/>
  <c r="X1472" i="5" s="1"/>
  <c r="J1472" i="5"/>
  <c r="R1447" i="5"/>
  <c r="E1447" i="5"/>
  <c r="X1447" i="5" s="1"/>
  <c r="J1386" i="5"/>
  <c r="I1386" i="5"/>
  <c r="E1362" i="5"/>
  <c r="X1362" i="5" s="1"/>
  <c r="G1362" i="5"/>
  <c r="E1219" i="5"/>
  <c r="X1219" i="5" s="1"/>
  <c r="R1219" i="5"/>
  <c r="H1219" i="5"/>
  <c r="I1219" i="5"/>
  <c r="F1219" i="5"/>
  <c r="J1219" i="5"/>
  <c r="G1219" i="5"/>
  <c r="J2200" i="5"/>
  <c r="R1190" i="5"/>
  <c r="I2222" i="5"/>
  <c r="E2426" i="5"/>
  <c r="X2426" i="5" s="1"/>
  <c r="G2426" i="5"/>
  <c r="J2426" i="5"/>
  <c r="H2426" i="5"/>
  <c r="F2426" i="5"/>
  <c r="R2426" i="5"/>
  <c r="I2426" i="5"/>
  <c r="F1760" i="5"/>
  <c r="I1970" i="5"/>
  <c r="R1760" i="5"/>
  <c r="J1650" i="5"/>
  <c r="H2402" i="5"/>
  <c r="F1180" i="5"/>
  <c r="H1447" i="5"/>
  <c r="F1192" i="5"/>
  <c r="R2248" i="5"/>
  <c r="I2248" i="5"/>
  <c r="F2248" i="5"/>
  <c r="F2223" i="5"/>
  <c r="I2223" i="5"/>
  <c r="E2010" i="5"/>
  <c r="X2010" i="5" s="1"/>
  <c r="G2010" i="5"/>
  <c r="H2010" i="5"/>
  <c r="F2010" i="5"/>
  <c r="E1947" i="5"/>
  <c r="X1947" i="5" s="1"/>
  <c r="G1947" i="5"/>
  <c r="F1947" i="5"/>
  <c r="E1571" i="5"/>
  <c r="X1571" i="5" s="1"/>
  <c r="F1571" i="5"/>
  <c r="E1527" i="5"/>
  <c r="X1527" i="5" s="1"/>
  <c r="F1527" i="5"/>
  <c r="R1527" i="5"/>
  <c r="I1469" i="5"/>
  <c r="F1469" i="5"/>
  <c r="J1469" i="5"/>
  <c r="E1841" i="5"/>
  <c r="X1841" i="5" s="1"/>
  <c r="H1841" i="5"/>
  <c r="R1841" i="5"/>
  <c r="S2178" i="5"/>
  <c r="T2178" i="5"/>
  <c r="T1555" i="5"/>
  <c r="AB1555" i="5"/>
  <c r="T1517" i="5"/>
  <c r="AB1517" i="5"/>
  <c r="S1517" i="5"/>
  <c r="T1398" i="5"/>
  <c r="S1398" i="5"/>
  <c r="T1367" i="5"/>
  <c r="S1367" i="5"/>
  <c r="T1346" i="5"/>
  <c r="AB1346" i="5"/>
  <c r="T1269" i="5"/>
  <c r="S1269" i="5"/>
  <c r="T1175" i="5"/>
  <c r="S1175" i="5"/>
  <c r="F1215" i="5"/>
  <c r="J1190" i="5"/>
  <c r="I2142" i="5"/>
  <c r="J1648" i="5"/>
  <c r="S1437" i="5"/>
  <c r="G1599" i="5"/>
  <c r="E1599" i="5"/>
  <c r="X1599" i="5" s="1"/>
  <c r="R1567" i="5"/>
  <c r="J1567" i="5"/>
  <c r="I1525" i="5"/>
  <c r="G1525" i="5"/>
  <c r="J1525" i="5"/>
  <c r="G1332" i="5"/>
  <c r="J1332" i="5"/>
  <c r="F1332" i="5"/>
  <c r="R1332" i="5"/>
  <c r="S2466" i="5"/>
  <c r="T2466" i="5"/>
  <c r="T2322" i="5"/>
  <c r="AB2322" i="5"/>
  <c r="S2322" i="5"/>
  <c r="T2313" i="5"/>
  <c r="T2272" i="5"/>
  <c r="AB2272" i="5"/>
  <c r="T2261" i="5"/>
  <c r="S2261" i="5"/>
  <c r="AB2261" i="5"/>
  <c r="T2219" i="5"/>
  <c r="S2219" i="5"/>
  <c r="AB2219" i="5"/>
  <c r="T2208" i="5"/>
  <c r="S2208" i="5"/>
  <c r="S1596" i="5"/>
  <c r="T1596" i="5"/>
  <c r="T1565" i="5"/>
  <c r="AB1565" i="5"/>
  <c r="T1447" i="5"/>
  <c r="AB1447" i="5"/>
  <c r="T1406" i="5"/>
  <c r="AB1406" i="5"/>
  <c r="S1406" i="5"/>
  <c r="T1376" i="5"/>
  <c r="S1376" i="5"/>
  <c r="AB1376" i="5"/>
  <c r="T1355" i="5"/>
  <c r="AB1355" i="5"/>
  <c r="T1307" i="5"/>
  <c r="S1307" i="5"/>
  <c r="T1288" i="5"/>
  <c r="S1288" i="5"/>
  <c r="T1268" i="5"/>
  <c r="AB1268" i="5"/>
  <c r="S1268" i="5"/>
  <c r="T1230" i="5"/>
  <c r="AB1230" i="5"/>
  <c r="T1201" i="5"/>
  <c r="AB1201" i="5"/>
  <c r="S1201" i="5"/>
  <c r="H2033" i="5"/>
  <c r="R2033" i="5"/>
  <c r="I1598" i="5"/>
  <c r="H1598" i="5"/>
  <c r="S2388" i="5"/>
  <c r="J2441" i="5"/>
  <c r="F2355" i="5"/>
  <c r="G2355" i="5"/>
  <c r="I2355" i="5"/>
  <c r="H2355" i="5"/>
  <c r="R2355" i="5"/>
  <c r="E2355" i="5"/>
  <c r="X2355" i="5" s="1"/>
  <c r="E2214" i="5"/>
  <c r="X2214" i="5" s="1"/>
  <c r="G2214" i="5"/>
  <c r="J1459" i="5"/>
  <c r="H1459" i="5"/>
  <c r="R1459" i="5"/>
  <c r="F1459" i="5"/>
  <c r="E2502" i="5"/>
  <c r="J2502" i="5"/>
  <c r="F2502" i="5"/>
  <c r="H2502" i="5"/>
  <c r="R2502" i="5"/>
  <c r="I1912" i="5"/>
  <c r="E1912" i="5"/>
  <c r="X1912" i="5" s="1"/>
  <c r="R1912" i="5"/>
  <c r="E1879" i="5"/>
  <c r="X1879" i="5" s="1"/>
  <c r="I1879" i="5"/>
  <c r="H1879" i="5"/>
  <c r="E1781" i="5"/>
  <c r="X1781" i="5" s="1"/>
  <c r="F1781" i="5"/>
  <c r="J1781" i="5"/>
  <c r="H1781" i="5"/>
  <c r="I2368" i="5"/>
  <c r="J1879" i="5"/>
  <c r="H1542" i="5"/>
  <c r="I1459" i="5"/>
  <c r="E2452" i="5"/>
  <c r="X2452" i="5" s="1"/>
  <c r="F2452" i="5"/>
  <c r="I2452" i="5"/>
  <c r="G2430" i="5"/>
  <c r="F2430" i="5"/>
  <c r="R2430" i="5"/>
  <c r="E1754" i="5"/>
  <c r="X1754" i="5" s="1"/>
  <c r="G1754" i="5"/>
  <c r="F1754" i="5"/>
  <c r="R1754" i="5"/>
  <c r="H1754" i="5"/>
  <c r="E1700" i="5"/>
  <c r="X1700" i="5" s="1"/>
  <c r="R1700" i="5"/>
  <c r="J1700" i="5"/>
  <c r="F1700" i="5"/>
  <c r="E2330" i="5"/>
  <c r="X2330" i="5" s="1"/>
  <c r="R2330" i="5"/>
  <c r="I2330" i="5"/>
  <c r="H2330" i="5"/>
  <c r="I1841" i="5"/>
  <c r="F2214" i="5"/>
  <c r="J2222" i="5"/>
  <c r="F1922" i="5"/>
  <c r="H2175" i="5"/>
  <c r="F1888" i="5"/>
  <c r="R2222" i="5"/>
  <c r="F1190" i="5"/>
  <c r="F1879" i="5"/>
  <c r="G1190" i="5"/>
  <c r="E2451" i="5"/>
  <c r="X2451" i="5" s="1"/>
  <c r="F2451" i="5"/>
  <c r="J2451" i="5"/>
  <c r="R2451" i="5"/>
  <c r="I2451" i="5"/>
  <c r="G2451" i="5"/>
  <c r="G2372" i="5"/>
  <c r="H2372" i="5"/>
  <c r="E2372" i="5"/>
  <c r="X2372" i="5" s="1"/>
  <c r="I2372" i="5"/>
  <c r="J2372" i="5"/>
  <c r="H2299" i="5"/>
  <c r="J2299" i="5"/>
  <c r="E2299" i="5"/>
  <c r="X2299" i="5" s="1"/>
  <c r="F2299" i="5"/>
  <c r="G2187" i="5"/>
  <c r="E2187" i="5"/>
  <c r="X2187" i="5" s="1"/>
  <c r="J2187" i="5"/>
  <c r="I2187" i="5"/>
  <c r="H2187" i="5"/>
  <c r="F2187" i="5"/>
  <c r="G2103" i="5"/>
  <c r="E2103" i="5"/>
  <c r="X2103" i="5" s="1"/>
  <c r="I2103" i="5"/>
  <c r="H2103" i="5"/>
  <c r="F2103" i="5"/>
  <c r="E2079" i="5"/>
  <c r="X2079" i="5" s="1"/>
  <c r="R2079" i="5"/>
  <c r="I2079" i="5"/>
  <c r="F2079" i="5"/>
  <c r="E2022" i="5"/>
  <c r="X2022" i="5" s="1"/>
  <c r="J2022" i="5"/>
  <c r="I2022" i="5"/>
  <c r="E1982" i="5"/>
  <c r="X1982" i="5" s="1"/>
  <c r="G1982" i="5"/>
  <c r="F1982" i="5"/>
  <c r="R2088" i="5"/>
  <c r="E2088" i="5"/>
  <c r="X2088" i="5" s="1"/>
  <c r="E1867" i="5"/>
  <c r="X1867" i="5" s="1"/>
  <c r="I1867" i="5"/>
  <c r="J1867" i="5"/>
  <c r="F1867" i="5"/>
  <c r="G1867" i="5"/>
  <c r="F2239" i="5"/>
  <c r="J2239" i="5"/>
  <c r="H2239" i="5"/>
  <c r="I2239" i="5"/>
  <c r="E2083" i="5"/>
  <c r="X2083" i="5" s="1"/>
  <c r="I2083" i="5"/>
  <c r="F2083" i="5"/>
  <c r="J2083" i="5"/>
  <c r="R2083" i="5"/>
  <c r="E1970" i="5"/>
  <c r="X1970" i="5" s="1"/>
  <c r="G1970" i="5"/>
  <c r="R1970" i="5"/>
  <c r="H1970" i="5"/>
  <c r="F1970" i="5"/>
  <c r="E1650" i="5"/>
  <c r="X1650" i="5" s="1"/>
  <c r="G1650" i="5"/>
  <c r="J1624" i="5"/>
  <c r="H1624" i="5"/>
  <c r="E1542" i="5"/>
  <c r="X1542" i="5" s="1"/>
  <c r="G1542" i="5"/>
  <c r="F1542" i="5"/>
  <c r="R1542" i="5"/>
  <c r="J1542" i="5"/>
  <c r="S2475" i="5"/>
  <c r="T2475" i="5"/>
  <c r="T2331" i="5"/>
  <c r="AB2331" i="5"/>
  <c r="T2321" i="5"/>
  <c r="AB2321" i="5"/>
  <c r="S2321" i="5"/>
  <c r="T2230" i="5"/>
  <c r="S2230" i="5"/>
  <c r="AB2230" i="5"/>
  <c r="I1650" i="5"/>
  <c r="J1841" i="5"/>
  <c r="J1922" i="5"/>
  <c r="R2441" i="5"/>
  <c r="E2406" i="5"/>
  <c r="X2406" i="5" s="1"/>
  <c r="I2406" i="5"/>
  <c r="F2307" i="5"/>
  <c r="J2307" i="5"/>
  <c r="E2260" i="5"/>
  <c r="X2260" i="5" s="1"/>
  <c r="R2260" i="5"/>
  <c r="I2260" i="5"/>
  <c r="I1180" i="5"/>
  <c r="R1180" i="5"/>
  <c r="R1922" i="5"/>
  <c r="F2175" i="5"/>
  <c r="H1922" i="5"/>
  <c r="H1888" i="5"/>
  <c r="F2222" i="5"/>
  <c r="R1867" i="5"/>
  <c r="I2502" i="5"/>
  <c r="J2142" i="5"/>
  <c r="R1879" i="5"/>
  <c r="G2119" i="5"/>
  <c r="G2346" i="5"/>
  <c r="R2346" i="5"/>
  <c r="I2346" i="5"/>
  <c r="I2322" i="5"/>
  <c r="G2322" i="5"/>
  <c r="R2322" i="5"/>
  <c r="H2322" i="5"/>
  <c r="T2045" i="5"/>
  <c r="S2045" i="5"/>
  <c r="AB2045" i="5"/>
  <c r="T2033" i="5"/>
  <c r="S2033" i="5"/>
  <c r="T1272" i="5"/>
  <c r="S1272" i="5"/>
  <c r="G1698" i="5"/>
  <c r="H1495" i="5"/>
  <c r="J1495" i="5"/>
  <c r="E1495" i="5"/>
  <c r="X1495" i="5" s="1"/>
  <c r="T2056" i="5"/>
  <c r="AB2056" i="5"/>
  <c r="S2056" i="5"/>
  <c r="T2044" i="5"/>
  <c r="AB2044" i="5"/>
  <c r="T2187" i="5"/>
  <c r="AB2187" i="5"/>
  <c r="E1935" i="5"/>
  <c r="X1935" i="5" s="1"/>
  <c r="G1935" i="5"/>
  <c r="I1935" i="5"/>
  <c r="E1911" i="5"/>
  <c r="X1911" i="5" s="1"/>
  <c r="H1911" i="5"/>
  <c r="F1911" i="5"/>
  <c r="T1575" i="5"/>
  <c r="AB1575" i="5"/>
  <c r="T1446" i="5"/>
  <c r="AB1446" i="5"/>
  <c r="T1386" i="5"/>
  <c r="AB1386" i="5"/>
  <c r="T1306" i="5"/>
  <c r="S1306" i="5"/>
  <c r="T1278" i="5"/>
  <c r="S1278" i="5"/>
  <c r="AB1278" i="5"/>
  <c r="T1239" i="5"/>
  <c r="AB1239" i="5"/>
  <c r="S1239" i="5"/>
  <c r="AB1174" i="5"/>
  <c r="S1174" i="5"/>
  <c r="AB1197" i="5"/>
  <c r="V1197" i="5"/>
  <c r="J1197" i="5" s="1"/>
  <c r="T1658" i="5"/>
  <c r="S1658" i="5"/>
  <c r="AB1658" i="5"/>
  <c r="T1626" i="5"/>
  <c r="S1626" i="5"/>
  <c r="T1615" i="5"/>
  <c r="S1615" i="5"/>
  <c r="E2367" i="5"/>
  <c r="X2367" i="5" s="1"/>
  <c r="H2367" i="5"/>
  <c r="R2367" i="5"/>
  <c r="E2070" i="5"/>
  <c r="X2070" i="5" s="1"/>
  <c r="R2070" i="5"/>
  <c r="I1802" i="5"/>
  <c r="F1802" i="5"/>
  <c r="R1264" i="5"/>
  <c r="I1264" i="5"/>
  <c r="H1264" i="5"/>
  <c r="E1203" i="5"/>
  <c r="X1203" i="5" s="1"/>
  <c r="G1203" i="5"/>
  <c r="R2052" i="5"/>
  <c r="I1400" i="5"/>
  <c r="R2467" i="5"/>
  <c r="I2367" i="5"/>
  <c r="E2443" i="5"/>
  <c r="X2443" i="5" s="1"/>
  <c r="I2443" i="5"/>
  <c r="R2443" i="5"/>
  <c r="F2443" i="5"/>
  <c r="G2126" i="5"/>
  <c r="H2126" i="5"/>
  <c r="E2019" i="5"/>
  <c r="X2019" i="5" s="1"/>
  <c r="J2019" i="5"/>
  <c r="G1975" i="5"/>
  <c r="E1975" i="5"/>
  <c r="X1975" i="5" s="1"/>
  <c r="F1975" i="5"/>
  <c r="R1975" i="5"/>
  <c r="F1927" i="5"/>
  <c r="E1927" i="5"/>
  <c r="X1927" i="5" s="1"/>
  <c r="R1927" i="5"/>
  <c r="J1927" i="5"/>
  <c r="I1826" i="5"/>
  <c r="F1826" i="5"/>
  <c r="F1724" i="5"/>
  <c r="R1724" i="5"/>
  <c r="I1724" i="5"/>
  <c r="G2467" i="5"/>
  <c r="J1400" i="5"/>
  <c r="H2467" i="5"/>
  <c r="F1699" i="5"/>
  <c r="J2367" i="5"/>
  <c r="G2488" i="5"/>
  <c r="H2488" i="5"/>
  <c r="E2465" i="5"/>
  <c r="X2465" i="5" s="1"/>
  <c r="H2465" i="5"/>
  <c r="G1899" i="5"/>
  <c r="E1899" i="5"/>
  <c r="X1899" i="5" s="1"/>
  <c r="R1899" i="5"/>
  <c r="J1899" i="5"/>
  <c r="F1899" i="5"/>
  <c r="E1479" i="5"/>
  <c r="X1479" i="5" s="1"/>
  <c r="J1479" i="5"/>
  <c r="G1479" i="5"/>
  <c r="R1479" i="5"/>
  <c r="H1431" i="5"/>
  <c r="J1431" i="5"/>
  <c r="I1431" i="5"/>
  <c r="G1431" i="5"/>
  <c r="F1431" i="5"/>
  <c r="E1398" i="5"/>
  <c r="X1398" i="5" s="1"/>
  <c r="G1398" i="5"/>
  <c r="E1368" i="5"/>
  <c r="X1368" i="5" s="1"/>
  <c r="F1368" i="5"/>
  <c r="V2395" i="5"/>
  <c r="F2395" i="5" s="1"/>
  <c r="AB2395" i="5"/>
  <c r="H2359" i="5"/>
  <c r="I2359" i="5"/>
  <c r="E2359" i="5"/>
  <c r="X2359" i="5" s="1"/>
  <c r="G2299" i="5"/>
  <c r="V2167" i="5"/>
  <c r="G2143" i="5"/>
  <c r="G2095" i="5"/>
  <c r="V2095" i="5"/>
  <c r="G2083" i="5"/>
  <c r="AB2083" i="5"/>
  <c r="V2047" i="5"/>
  <c r="G2047" i="5"/>
  <c r="V2035" i="5"/>
  <c r="AB2035" i="5"/>
  <c r="E2023" i="5"/>
  <c r="X2023" i="5" s="1"/>
  <c r="F2023" i="5"/>
  <c r="R2023" i="5"/>
  <c r="I2023" i="5"/>
  <c r="G1999" i="5"/>
  <c r="E1987" i="5"/>
  <c r="X1987" i="5" s="1"/>
  <c r="J1987" i="5"/>
  <c r="V1963" i="5"/>
  <c r="G1963" i="5" s="1"/>
  <c r="AB1963" i="5"/>
  <c r="G1939" i="5"/>
  <c r="G1927" i="5"/>
  <c r="AB1927" i="5"/>
  <c r="V1915" i="5"/>
  <c r="G1915" i="5" s="1"/>
  <c r="G1879" i="5"/>
  <c r="AB1819" i="5"/>
  <c r="V1819" i="5"/>
  <c r="V1771" i="5"/>
  <c r="G1771" i="5" s="1"/>
  <c r="V1735" i="5"/>
  <c r="AB1735" i="5"/>
  <c r="G1699" i="5"/>
  <c r="AB1699" i="5"/>
  <c r="V1675" i="5"/>
  <c r="G1675" i="5" s="1"/>
  <c r="V1663" i="5"/>
  <c r="G1663" i="5"/>
  <c r="V1639" i="5"/>
  <c r="G1639" i="5"/>
  <c r="G1627" i="5"/>
  <c r="E1627" i="5"/>
  <c r="X1627" i="5" s="1"/>
  <c r="G1603" i="5"/>
  <c r="E1603" i="5"/>
  <c r="X1603" i="5" s="1"/>
  <c r="V1579" i="5"/>
  <c r="R1579" i="5" s="1"/>
  <c r="AB1579" i="5"/>
  <c r="V1543" i="5"/>
  <c r="J1543" i="5" s="1"/>
  <c r="AB1543" i="5"/>
  <c r="V1531" i="5"/>
  <c r="G1531" i="5" s="1"/>
  <c r="V1507" i="5"/>
  <c r="G1507" i="5"/>
  <c r="AB1507" i="5"/>
  <c r="G1495" i="5"/>
  <c r="V1483" i="5"/>
  <c r="V1471" i="5"/>
  <c r="G1471" i="5"/>
  <c r="AB1471" i="5"/>
  <c r="G1447" i="5"/>
  <c r="G1435" i="5"/>
  <c r="R1435" i="5"/>
  <c r="V1423" i="5"/>
  <c r="J1411" i="5"/>
  <c r="H1411" i="5"/>
  <c r="V1399" i="5"/>
  <c r="AB1399" i="5"/>
  <c r="J1387" i="5"/>
  <c r="R1387" i="5"/>
  <c r="I1387" i="5"/>
  <c r="AB1363" i="5"/>
  <c r="G1363" i="5"/>
  <c r="E1339" i="5"/>
  <c r="X1339" i="5" s="1"/>
  <c r="F1339" i="5"/>
  <c r="V1315" i="5"/>
  <c r="E1315" i="5" s="1"/>
  <c r="X1315" i="5" s="1"/>
  <c r="G1315" i="5"/>
  <c r="V1291" i="5"/>
  <c r="AB1291" i="5"/>
  <c r="V1207" i="5"/>
  <c r="AB1207" i="5"/>
  <c r="V1171" i="5"/>
  <c r="AB1171" i="5"/>
  <c r="T2464" i="5"/>
  <c r="S2464" i="5"/>
  <c r="S2248" i="5"/>
  <c r="T2248" i="5"/>
  <c r="AB2248" i="5"/>
  <c r="T2125" i="5"/>
  <c r="S2125" i="5"/>
  <c r="AB2095" i="5"/>
  <c r="S2095" i="5"/>
  <c r="AB2467" i="5"/>
  <c r="H2186" i="5"/>
  <c r="AB2299" i="5"/>
  <c r="J2271" i="5"/>
  <c r="F1903" i="5"/>
  <c r="AB1687" i="5"/>
  <c r="I2380" i="5"/>
  <c r="AB1939" i="5"/>
  <c r="F1855" i="5"/>
  <c r="AB1483" i="5"/>
  <c r="F1387" i="5"/>
  <c r="G2407" i="5"/>
  <c r="G1855" i="5"/>
  <c r="G1339" i="5"/>
  <c r="E2427" i="5"/>
  <c r="X2427" i="5" s="1"/>
  <c r="G2427" i="5"/>
  <c r="V2371" i="5"/>
  <c r="E1779" i="5"/>
  <c r="X1779" i="5" s="1"/>
  <c r="G1779" i="5"/>
  <c r="J1227" i="5"/>
  <c r="R1227" i="5"/>
  <c r="S1347" i="5"/>
  <c r="T1347" i="5"/>
  <c r="T1241" i="5"/>
  <c r="AB1241" i="5"/>
  <c r="AB2383" i="5"/>
  <c r="AB2311" i="5"/>
  <c r="I2204" i="5"/>
  <c r="R1999" i="5"/>
  <c r="AB1759" i="5"/>
  <c r="AB1303" i="5"/>
  <c r="H1372" i="5"/>
  <c r="J2380" i="5"/>
  <c r="S1328" i="5"/>
  <c r="F1999" i="5"/>
  <c r="S2484" i="5"/>
  <c r="G2494" i="5"/>
  <c r="G2179" i="5"/>
  <c r="G1402" i="5"/>
  <c r="E2343" i="5"/>
  <c r="X2343" i="5" s="1"/>
  <c r="G2343" i="5"/>
  <c r="V2275" i="5"/>
  <c r="G2236" i="5"/>
  <c r="E2236" i="5"/>
  <c r="X2236" i="5" s="1"/>
  <c r="E1746" i="5"/>
  <c r="X1746" i="5" s="1"/>
  <c r="G1746" i="5"/>
  <c r="E1383" i="5"/>
  <c r="X1383" i="5" s="1"/>
  <c r="G1383" i="5"/>
  <c r="H1383" i="5"/>
  <c r="AB2062" i="5"/>
  <c r="T2062" i="5"/>
  <c r="T1835" i="5"/>
  <c r="S1835" i="5"/>
  <c r="T1813" i="5"/>
  <c r="S1813" i="5"/>
  <c r="T1802" i="5"/>
  <c r="S1802" i="5"/>
  <c r="T1759" i="5"/>
  <c r="S1759" i="5"/>
  <c r="T1747" i="5"/>
  <c r="S1747" i="5"/>
  <c r="T1667" i="5"/>
  <c r="S1667" i="5"/>
  <c r="AB1667" i="5"/>
  <c r="T1636" i="5"/>
  <c r="S1636" i="5"/>
  <c r="T1625" i="5"/>
  <c r="S1625" i="5"/>
  <c r="T1614" i="5"/>
  <c r="AB1614" i="5"/>
  <c r="S1614" i="5"/>
  <c r="T1563" i="5"/>
  <c r="AB1563" i="5"/>
  <c r="T1435" i="5"/>
  <c r="AB1435" i="5"/>
  <c r="S1375" i="5"/>
  <c r="AB1375" i="5"/>
  <c r="T2151" i="5"/>
  <c r="AB2151" i="5"/>
  <c r="T2090" i="5"/>
  <c r="AB2090" i="5"/>
  <c r="T1867" i="5"/>
  <c r="S1867" i="5"/>
  <c r="T1688" i="5"/>
  <c r="S1688" i="5"/>
  <c r="AB1688" i="5"/>
  <c r="AB2167" i="5"/>
  <c r="S2090" i="5"/>
  <c r="F1411" i="5"/>
  <c r="AB2464" i="5"/>
  <c r="AB2047" i="5"/>
  <c r="I1411" i="5"/>
  <c r="G2482" i="5"/>
  <c r="G2023" i="5"/>
  <c r="V2107" i="5"/>
  <c r="G2107" i="5" s="1"/>
  <c r="V1966" i="5"/>
  <c r="V1939" i="5"/>
  <c r="E1887" i="5"/>
  <c r="X1887" i="5" s="1"/>
  <c r="F1887" i="5"/>
  <c r="H1887" i="5"/>
  <c r="E1866" i="5"/>
  <c r="X1866" i="5" s="1"/>
  <c r="G1866" i="5"/>
  <c r="E1767" i="5"/>
  <c r="X1767" i="5" s="1"/>
  <c r="T2392" i="5"/>
  <c r="S2392" i="5"/>
  <c r="T2369" i="5"/>
  <c r="S2369" i="5"/>
  <c r="T2222" i="5"/>
  <c r="T1603" i="5"/>
  <c r="AB1603" i="5"/>
  <c r="T1453" i="5"/>
  <c r="S1453" i="5"/>
  <c r="T1443" i="5"/>
  <c r="S1443" i="5"/>
  <c r="F2380" i="5"/>
  <c r="H2380" i="5"/>
  <c r="I2251" i="5"/>
  <c r="R2251" i="5"/>
  <c r="E2204" i="5"/>
  <c r="X2204" i="5" s="1"/>
  <c r="G2204" i="5"/>
  <c r="R2186" i="5"/>
  <c r="J2186" i="5"/>
  <c r="I2186" i="5"/>
  <c r="E2151" i="5"/>
  <c r="X2151" i="5" s="1"/>
  <c r="G2151" i="5"/>
  <c r="E1839" i="5"/>
  <c r="X1839" i="5" s="1"/>
  <c r="G1839" i="5"/>
  <c r="V2495" i="5"/>
  <c r="I2495" i="5" s="1"/>
  <c r="V2447" i="5"/>
  <c r="G2447" i="5" s="1"/>
  <c r="V2411" i="5"/>
  <c r="G2411" i="5" s="1"/>
  <c r="V2267" i="5"/>
  <c r="G2267" i="5"/>
  <c r="V2255" i="5"/>
  <c r="G2255" i="5"/>
  <c r="V2111" i="5"/>
  <c r="V1955" i="5"/>
  <c r="G1955" i="5"/>
  <c r="V1679" i="5"/>
  <c r="G1679" i="5" s="1"/>
  <c r="V1211" i="5"/>
  <c r="G1211" i="5" s="1"/>
  <c r="AB1211" i="5"/>
  <c r="T2467" i="5"/>
  <c r="S2467" i="5"/>
  <c r="T2435" i="5"/>
  <c r="S2435" i="5"/>
  <c r="T1622" i="5"/>
  <c r="S1622" i="5"/>
  <c r="T1591" i="5"/>
  <c r="AB1591" i="5"/>
  <c r="T1572" i="5"/>
  <c r="S1572" i="5"/>
  <c r="AB2202" i="5"/>
  <c r="V2455" i="5"/>
  <c r="E2334" i="5"/>
  <c r="X2334" i="5" s="1"/>
  <c r="R2334" i="5"/>
  <c r="E2310" i="5"/>
  <c r="X2310" i="5" s="1"/>
  <c r="G2310" i="5"/>
  <c r="E2270" i="5"/>
  <c r="X2270" i="5" s="1"/>
  <c r="G2270" i="5"/>
  <c r="E2203" i="5"/>
  <c r="X2203" i="5" s="1"/>
  <c r="F2203" i="5"/>
  <c r="J2104" i="5"/>
  <c r="H2104" i="5"/>
  <c r="E1863" i="5"/>
  <c r="X1863" i="5" s="1"/>
  <c r="F1863" i="5"/>
  <c r="H1324" i="5"/>
  <c r="R1324" i="5"/>
  <c r="R2458" i="5"/>
  <c r="J2458" i="5"/>
  <c r="G2422" i="5"/>
  <c r="E2422" i="5"/>
  <c r="X2422" i="5" s="1"/>
  <c r="V2230" i="5"/>
  <c r="G2230" i="5" s="1"/>
  <c r="V2218" i="5"/>
  <c r="G2218" i="5" s="1"/>
  <c r="AB2110" i="5"/>
  <c r="V2110" i="5"/>
  <c r="E2110" i="5" s="1"/>
  <c r="X2110" i="5" s="1"/>
  <c r="V2098" i="5"/>
  <c r="G2098" i="5" s="1"/>
  <c r="V1918" i="5"/>
  <c r="G1918" i="5" s="1"/>
  <c r="V1906" i="5"/>
  <c r="J1906" i="5" s="1"/>
  <c r="AB1906" i="5"/>
  <c r="V1894" i="5"/>
  <c r="G1894" i="5" s="1"/>
  <c r="J1882" i="5"/>
  <c r="H1882" i="5"/>
  <c r="V1678" i="5"/>
  <c r="G1678" i="5" s="1"/>
  <c r="V1570" i="5"/>
  <c r="G1570" i="5" s="1"/>
  <c r="AB1570" i="5"/>
  <c r="AB1366" i="5"/>
  <c r="V1366" i="5"/>
  <c r="E1366" i="5" s="1"/>
  <c r="X1366" i="5" s="1"/>
  <c r="V1246" i="5"/>
  <c r="T2034" i="5"/>
  <c r="S2034" i="5"/>
  <c r="T2023" i="5"/>
  <c r="AB2023" i="5"/>
  <c r="T1875" i="5"/>
  <c r="AB1875" i="5"/>
  <c r="T1765" i="5"/>
  <c r="S1765" i="5"/>
  <c r="T1697" i="5"/>
  <c r="S1697" i="5"/>
  <c r="T1633" i="5"/>
  <c r="S1633" i="5"/>
  <c r="G2465" i="5"/>
  <c r="G2441" i="5"/>
  <c r="G2321" i="5"/>
  <c r="E1949" i="5"/>
  <c r="X1949" i="5" s="1"/>
  <c r="F1949" i="5"/>
  <c r="T1909" i="5"/>
  <c r="S1909" i="5"/>
  <c r="T1764" i="5"/>
  <c r="S1764" i="5"/>
  <c r="T1742" i="5"/>
  <c r="S1742" i="5"/>
  <c r="T1696" i="5"/>
  <c r="S1696" i="5"/>
  <c r="T1256" i="5"/>
  <c r="S1256" i="5"/>
  <c r="T1191" i="5"/>
  <c r="AB1191" i="5"/>
  <c r="E2321" i="5"/>
  <c r="X2321" i="5" s="1"/>
  <c r="F2321" i="5"/>
  <c r="G2190" i="5"/>
  <c r="J2190" i="5"/>
  <c r="E2138" i="5"/>
  <c r="X2138" i="5" s="1"/>
  <c r="F2138" i="5"/>
  <c r="G2138" i="5"/>
  <c r="G2118" i="5"/>
  <c r="J2118" i="5"/>
  <c r="G2043" i="5"/>
  <c r="E2043" i="5"/>
  <c r="X2043" i="5" s="1"/>
  <c r="G2012" i="5"/>
  <c r="E2012" i="5"/>
  <c r="X2012" i="5" s="1"/>
  <c r="E1995" i="5"/>
  <c r="X1995" i="5" s="1"/>
  <c r="G1995" i="5"/>
  <c r="I1995" i="5"/>
  <c r="R1808" i="5"/>
  <c r="E1808" i="5"/>
  <c r="X1808" i="5" s="1"/>
  <c r="G1808" i="5"/>
  <c r="I1490" i="5"/>
  <c r="R1490" i="5"/>
  <c r="G1382" i="5"/>
  <c r="E1382" i="5"/>
  <c r="X1382" i="5" s="1"/>
  <c r="T2351" i="5"/>
  <c r="S2351" i="5"/>
  <c r="T1963" i="5"/>
  <c r="S1963" i="5"/>
  <c r="T1944" i="5"/>
  <c r="AB1944" i="5"/>
  <c r="T1897" i="5"/>
  <c r="S1897" i="5"/>
  <c r="T1785" i="5"/>
  <c r="S1785" i="5"/>
  <c r="T1775" i="5"/>
  <c r="S1775" i="5"/>
  <c r="T1741" i="5"/>
  <c r="S1741" i="5"/>
  <c r="T1730" i="5"/>
  <c r="AB1730" i="5"/>
  <c r="T1451" i="5"/>
  <c r="AB1451" i="5"/>
  <c r="T1294" i="5"/>
  <c r="S1294" i="5"/>
  <c r="T2470" i="5"/>
  <c r="S2470" i="5"/>
  <c r="T2350" i="5"/>
  <c r="AB2350" i="5"/>
  <c r="T2256" i="5"/>
  <c r="T2144" i="5"/>
  <c r="S2144" i="5"/>
  <c r="T2053" i="5"/>
  <c r="AB2053" i="5"/>
  <c r="T2030" i="5"/>
  <c r="AB2030" i="5"/>
  <c r="T1919" i="5"/>
  <c r="S1919" i="5"/>
  <c r="T1795" i="5"/>
  <c r="S1795" i="5"/>
  <c r="T1762" i="5"/>
  <c r="S1762" i="5"/>
  <c r="S1519" i="5"/>
  <c r="AB1519" i="5"/>
  <c r="T1519" i="5"/>
  <c r="T1481" i="5"/>
  <c r="AB1481" i="5"/>
  <c r="T1470" i="5"/>
  <c r="S1470" i="5"/>
  <c r="T1390" i="5"/>
  <c r="S1390" i="5"/>
  <c r="T1311" i="5"/>
  <c r="T1264" i="5"/>
  <c r="E2408" i="5"/>
  <c r="X2408" i="5" s="1"/>
  <c r="G2408" i="5"/>
  <c r="E2066" i="5"/>
  <c r="X2066" i="5" s="1"/>
  <c r="G2066" i="5"/>
  <c r="R1948" i="5"/>
  <c r="H1948" i="5"/>
  <c r="T2317" i="5"/>
  <c r="S2317" i="5"/>
  <c r="T2298" i="5"/>
  <c r="S2298" i="5"/>
  <c r="T2052" i="5"/>
  <c r="S2052" i="5"/>
  <c r="T1973" i="5"/>
  <c r="AB1973" i="5"/>
  <c r="T1942" i="5"/>
  <c r="AB1942" i="5"/>
  <c r="T1906" i="5"/>
  <c r="S1906" i="5"/>
  <c r="T1489" i="5"/>
  <c r="S1489" i="5"/>
  <c r="T1480" i="5"/>
  <c r="S1480" i="5"/>
  <c r="S1429" i="5"/>
  <c r="T1429" i="5"/>
  <c r="T1409" i="5"/>
  <c r="S1409" i="5"/>
  <c r="T1329" i="5"/>
  <c r="T2297" i="5"/>
  <c r="S2297" i="5"/>
  <c r="T2072" i="5"/>
  <c r="AB2072" i="5"/>
  <c r="T1995" i="5"/>
  <c r="AB1995" i="5"/>
  <c r="T1983" i="5"/>
  <c r="AB1983" i="5"/>
  <c r="T1537" i="5"/>
  <c r="S1537" i="5"/>
  <c r="T1497" i="5"/>
  <c r="S1497" i="5"/>
  <c r="S2221" i="5"/>
  <c r="T2221" i="5"/>
  <c r="T1967" i="5"/>
  <c r="S1967" i="5"/>
  <c r="T1889" i="5"/>
  <c r="S1889" i="5"/>
  <c r="T1833" i="5"/>
  <c r="S1833" i="5"/>
  <c r="T1624" i="5"/>
  <c r="AB1624" i="5"/>
  <c r="S1624" i="5"/>
  <c r="G2261" i="5"/>
  <c r="V2453" i="5"/>
  <c r="J2453" i="5" s="1"/>
  <c r="J2286" i="5"/>
  <c r="G2286" i="5"/>
  <c r="E1818" i="5"/>
  <c r="X1818" i="5" s="1"/>
  <c r="G1818" i="5"/>
  <c r="T2421" i="5"/>
  <c r="T1994" i="5"/>
  <c r="S1994" i="5"/>
  <c r="T1982" i="5"/>
  <c r="T1560" i="5"/>
  <c r="S1560" i="5"/>
  <c r="V2381" i="5"/>
  <c r="G2381" i="5" s="1"/>
  <c r="V2333" i="5"/>
  <c r="G2333" i="5"/>
  <c r="G2165" i="5"/>
  <c r="E2165" i="5"/>
  <c r="X2165" i="5" s="1"/>
  <c r="G2033" i="5"/>
  <c r="V1997" i="5"/>
  <c r="G1997" i="5" s="1"/>
  <c r="V1985" i="5"/>
  <c r="G1985" i="5" s="1"/>
  <c r="V1901" i="5"/>
  <c r="G1901" i="5" s="1"/>
  <c r="G1781" i="5"/>
  <c r="AB1721" i="5"/>
  <c r="E1565" i="5"/>
  <c r="X1565" i="5" s="1"/>
  <c r="I1565" i="5"/>
  <c r="E1529" i="5"/>
  <c r="X1529" i="5" s="1"/>
  <c r="F1529" i="5"/>
  <c r="V1505" i="5"/>
  <c r="G1505" i="5" s="1"/>
  <c r="G1469" i="5"/>
  <c r="V1397" i="5"/>
  <c r="H1397" i="5" s="1"/>
  <c r="AB1397" i="5"/>
  <c r="V1325" i="5"/>
  <c r="G1325" i="5" s="1"/>
  <c r="V1265" i="5"/>
  <c r="G1265" i="5"/>
  <c r="T2136" i="5"/>
  <c r="S2136" i="5"/>
  <c r="T1893" i="5"/>
  <c r="S1893" i="5"/>
  <c r="E1612" i="5"/>
  <c r="X1612" i="5" s="1"/>
  <c r="S2305" i="5"/>
  <c r="T2305" i="5"/>
  <c r="T1531" i="5"/>
  <c r="AB1531" i="5"/>
  <c r="V2456" i="5"/>
  <c r="G2456" i="5"/>
  <c r="AB1988" i="5"/>
  <c r="AB1904" i="5"/>
  <c r="V1904" i="5"/>
  <c r="V1712" i="5"/>
  <c r="G1712" i="5"/>
  <c r="V1604" i="5"/>
  <c r="G1604" i="5" s="1"/>
  <c r="AB1220" i="5"/>
  <c r="G1220" i="5"/>
  <c r="J1208" i="5"/>
  <c r="E1208" i="5"/>
  <c r="X1208" i="5" s="1"/>
  <c r="G1184" i="5"/>
  <c r="AB2071" i="5"/>
  <c r="AB1633" i="5"/>
  <c r="AB1465" i="5"/>
  <c r="V1465" i="5"/>
  <c r="E1465" i="5" s="1"/>
  <c r="X1465" i="5" s="1"/>
  <c r="G1465" i="5"/>
  <c r="V2304" i="5"/>
  <c r="G2304" i="5" s="1"/>
  <c r="V2268" i="5"/>
  <c r="G2268" i="5"/>
  <c r="AB2204" i="5"/>
  <c r="AB2379" i="5"/>
  <c r="T1839" i="5"/>
  <c r="F1842" i="5"/>
  <c r="E1842" i="5"/>
  <c r="X1842" i="5" s="1"/>
  <c r="H1842" i="5"/>
  <c r="R1842" i="5"/>
  <c r="I1842" i="5"/>
  <c r="G1842" i="5"/>
  <c r="J1842" i="5"/>
  <c r="H2313" i="5"/>
  <c r="J2313" i="5"/>
  <c r="F2313" i="5"/>
  <c r="R2313" i="5"/>
  <c r="I2313" i="5"/>
  <c r="E2313" i="5"/>
  <c r="X2313" i="5" s="1"/>
  <c r="E1166" i="5"/>
  <c r="X1166" i="5" s="1"/>
  <c r="I1166" i="5"/>
  <c r="R1166" i="5"/>
  <c r="G1166" i="5"/>
  <c r="F1166" i="5"/>
  <c r="H1166" i="5"/>
  <c r="J1166" i="5"/>
  <c r="J1378" i="5"/>
  <c r="F1378" i="5"/>
  <c r="R1378" i="5"/>
  <c r="H1378" i="5"/>
  <c r="I1497" i="5"/>
  <c r="R1497" i="5"/>
  <c r="J1497" i="5"/>
  <c r="H1497" i="5"/>
  <c r="F1221" i="5"/>
  <c r="H1221" i="5"/>
  <c r="E2213" i="5"/>
  <c r="X2213" i="5" s="1"/>
  <c r="I2213" i="5"/>
  <c r="G2213" i="5"/>
  <c r="R2213" i="5"/>
  <c r="H2213" i="5"/>
  <c r="F2213" i="5"/>
  <c r="G2152" i="5"/>
  <c r="E2152" i="5"/>
  <c r="X2152" i="5" s="1"/>
  <c r="J2152" i="5"/>
  <c r="I2152" i="5"/>
  <c r="H2152" i="5"/>
  <c r="F2152" i="5"/>
  <c r="R2152" i="5"/>
  <c r="G2139" i="5"/>
  <c r="I2139" i="5"/>
  <c r="H2139" i="5"/>
  <c r="F2139" i="5"/>
  <c r="E2139" i="5"/>
  <c r="X2139" i="5" s="1"/>
  <c r="R2139" i="5"/>
  <c r="J2139" i="5"/>
  <c r="F2155" i="5"/>
  <c r="J2155" i="5"/>
  <c r="E2155" i="5"/>
  <c r="X2155" i="5" s="1"/>
  <c r="I2155" i="5"/>
  <c r="G2155" i="5"/>
  <c r="H2155" i="5"/>
  <c r="F2050" i="5"/>
  <c r="R2050" i="5"/>
  <c r="J2050" i="5"/>
  <c r="E2297" i="5"/>
  <c r="X2297" i="5" s="1"/>
  <c r="J2297" i="5"/>
  <c r="F2297" i="5"/>
  <c r="I2297" i="5"/>
  <c r="H2297" i="5"/>
  <c r="R2297" i="5"/>
  <c r="G2297" i="5"/>
  <c r="G1375" i="5"/>
  <c r="E1375" i="5"/>
  <c r="X1375" i="5" s="1"/>
  <c r="H1375" i="5"/>
  <c r="J1375" i="5"/>
  <c r="R1375" i="5"/>
  <c r="F1375" i="5"/>
  <c r="E1360" i="5"/>
  <c r="X1360" i="5" s="1"/>
  <c r="G1360" i="5"/>
  <c r="J1360" i="5"/>
  <c r="H1360" i="5"/>
  <c r="R1345" i="5"/>
  <c r="J1345" i="5"/>
  <c r="H1345" i="5"/>
  <c r="F1345" i="5"/>
  <c r="I1360" i="5"/>
  <c r="E2191" i="5"/>
  <c r="X2191" i="5" s="1"/>
  <c r="J2191" i="5"/>
  <c r="I2191" i="5"/>
  <c r="H2191" i="5"/>
  <c r="R2191" i="5"/>
  <c r="G2191" i="5"/>
  <c r="E2246" i="5"/>
  <c r="X2246" i="5" s="1"/>
  <c r="G2246" i="5"/>
  <c r="F2246" i="5"/>
  <c r="J2246" i="5"/>
  <c r="I2246" i="5"/>
  <c r="E1711" i="5"/>
  <c r="X1711" i="5" s="1"/>
  <c r="J1711" i="5"/>
  <c r="G1711" i="5"/>
  <c r="H1711" i="5"/>
  <c r="I1711" i="5"/>
  <c r="F1711" i="5"/>
  <c r="G2332" i="5"/>
  <c r="I2332" i="5"/>
  <c r="F2332" i="5"/>
  <c r="J2332" i="5"/>
  <c r="H2332" i="5"/>
  <c r="R2332" i="5"/>
  <c r="E2332" i="5"/>
  <c r="X2332" i="5" s="1"/>
  <c r="R1360" i="5"/>
  <c r="G2294" i="5"/>
  <c r="J2294" i="5"/>
  <c r="R2294" i="5"/>
  <c r="F2294" i="5"/>
  <c r="I2294" i="5"/>
  <c r="H2294" i="5"/>
  <c r="E1959" i="5"/>
  <c r="X1959" i="5" s="1"/>
  <c r="I1959" i="5"/>
  <c r="J1959" i="5"/>
  <c r="R1959" i="5"/>
  <c r="G1959" i="5"/>
  <c r="H1959" i="5"/>
  <c r="F1959" i="5"/>
  <c r="F1829" i="5"/>
  <c r="R1829" i="5"/>
  <c r="J1829" i="5"/>
  <c r="I1829" i="5"/>
  <c r="E1809" i="5"/>
  <c r="X1809" i="5" s="1"/>
  <c r="R1809" i="5"/>
  <c r="J1809" i="5"/>
  <c r="E1791" i="5"/>
  <c r="X1791" i="5" s="1"/>
  <c r="R1791" i="5"/>
  <c r="G1791" i="5"/>
  <c r="I1791" i="5"/>
  <c r="H1791" i="5"/>
  <c r="J1791" i="5"/>
  <c r="F1791" i="5"/>
  <c r="F1360" i="5"/>
  <c r="E2020" i="5"/>
  <c r="X2020" i="5" s="1"/>
  <c r="F2020" i="5"/>
  <c r="R2020" i="5"/>
  <c r="G2490" i="5"/>
  <c r="E2490" i="5"/>
  <c r="X2490" i="5" s="1"/>
  <c r="R2490" i="5"/>
  <c r="V2469" i="5"/>
  <c r="G2469" i="5" s="1"/>
  <c r="F1625" i="5"/>
  <c r="I1625" i="5"/>
  <c r="T1233" i="5"/>
  <c r="AB1233" i="5"/>
  <c r="I2154" i="5"/>
  <c r="AB1329" i="5"/>
  <c r="G2337" i="5"/>
  <c r="H2348" i="5"/>
  <c r="R2348" i="5"/>
  <c r="F2348" i="5"/>
  <c r="V2277" i="5"/>
  <c r="G2277" i="5" s="1"/>
  <c r="E2227" i="5"/>
  <c r="X2227" i="5" s="1"/>
  <c r="G2227" i="5"/>
  <c r="H2227" i="5"/>
  <c r="R2227" i="5"/>
  <c r="J2227" i="5"/>
  <c r="E2211" i="5"/>
  <c r="X2211" i="5" s="1"/>
  <c r="G2211" i="5"/>
  <c r="F2211" i="5"/>
  <c r="G2166" i="5"/>
  <c r="I2166" i="5"/>
  <c r="F2166" i="5"/>
  <c r="R2166" i="5"/>
  <c r="J2166" i="5"/>
  <c r="G2018" i="5"/>
  <c r="E2018" i="5"/>
  <c r="X2018" i="5" s="1"/>
  <c r="G1843" i="5"/>
  <c r="H1843" i="5"/>
  <c r="E1843" i="5"/>
  <c r="X1843" i="5" s="1"/>
  <c r="F1843" i="5"/>
  <c r="E1827" i="5"/>
  <c r="X1827" i="5" s="1"/>
  <c r="G1827" i="5"/>
  <c r="H1827" i="5"/>
  <c r="E1685" i="5"/>
  <c r="X1685" i="5" s="1"/>
  <c r="I1685" i="5"/>
  <c r="F1685" i="5"/>
  <c r="H1685" i="5"/>
  <c r="G1685" i="5"/>
  <c r="J1685" i="5"/>
  <c r="R1685" i="5"/>
  <c r="G1303" i="5"/>
  <c r="J1303" i="5"/>
  <c r="I1303" i="5"/>
  <c r="T1297" i="5"/>
  <c r="S1297" i="5"/>
  <c r="T1248" i="5"/>
  <c r="AB1248" i="5"/>
  <c r="S1248" i="5"/>
  <c r="V2445" i="5"/>
  <c r="G2445" i="5" s="1"/>
  <c r="AB2445" i="5"/>
  <c r="R2325" i="5"/>
  <c r="H2325" i="5"/>
  <c r="J2325" i="5"/>
  <c r="I2325" i="5"/>
  <c r="AB2241" i="5"/>
  <c r="G2241" i="5"/>
  <c r="V2193" i="5"/>
  <c r="G2133" i="5"/>
  <c r="E2133" i="5"/>
  <c r="X2133" i="5" s="1"/>
  <c r="F2133" i="5"/>
  <c r="V2085" i="5"/>
  <c r="G2085" i="5" s="1"/>
  <c r="AB2085" i="5"/>
  <c r="AB2013" i="5"/>
  <c r="V2013" i="5"/>
  <c r="R2013" i="5" s="1"/>
  <c r="V1965" i="5"/>
  <c r="J1965" i="5" s="1"/>
  <c r="AB1965" i="5"/>
  <c r="AB1881" i="5"/>
  <c r="V1881" i="5"/>
  <c r="V1833" i="5"/>
  <c r="V1785" i="5"/>
  <c r="AB1785" i="5"/>
  <c r="AB1725" i="5"/>
  <c r="V1725" i="5"/>
  <c r="E1725" i="5" s="1"/>
  <c r="X1725" i="5" s="1"/>
  <c r="V1677" i="5"/>
  <c r="G1677" i="5" s="1"/>
  <c r="G1617" i="5"/>
  <c r="I1617" i="5"/>
  <c r="R1617" i="5"/>
  <c r="E1617" i="5"/>
  <c r="X1617" i="5" s="1"/>
  <c r="H1617" i="5"/>
  <c r="AB1569" i="5"/>
  <c r="V1569" i="5"/>
  <c r="E1569" i="5" s="1"/>
  <c r="X1569" i="5" s="1"/>
  <c r="V1509" i="5"/>
  <c r="G1509" i="5" s="1"/>
  <c r="V1449" i="5"/>
  <c r="G1449" i="5"/>
  <c r="V1353" i="5"/>
  <c r="G1353" i="5"/>
  <c r="AB1353" i="5"/>
  <c r="V1305" i="5"/>
  <c r="AB1305" i="5"/>
  <c r="V1245" i="5"/>
  <c r="G1245" i="5" s="1"/>
  <c r="T2390" i="5"/>
  <c r="S2390" i="5"/>
  <c r="AB2390" i="5"/>
  <c r="T2446" i="5"/>
  <c r="AB2446" i="5"/>
  <c r="S2446" i="5"/>
  <c r="T2019" i="5"/>
  <c r="AB2019" i="5"/>
  <c r="T1989" i="5"/>
  <c r="AB1989" i="5"/>
  <c r="S1989" i="5"/>
  <c r="T1980" i="5"/>
  <c r="AB1980" i="5"/>
  <c r="T1843" i="5"/>
  <c r="AB1843" i="5"/>
  <c r="S1843" i="5"/>
  <c r="T1571" i="5"/>
  <c r="S1571" i="5"/>
  <c r="T1562" i="5"/>
  <c r="AB1562" i="5"/>
  <c r="S1562" i="5"/>
  <c r="T1536" i="5"/>
  <c r="AB1536" i="5"/>
  <c r="T1501" i="5"/>
  <c r="S1501" i="5"/>
  <c r="AB1501" i="5"/>
  <c r="T1485" i="5"/>
  <c r="AB1485" i="5"/>
  <c r="T1476" i="5"/>
  <c r="AB1476" i="5"/>
  <c r="S1476" i="5"/>
  <c r="T1424" i="5"/>
  <c r="S1424" i="5"/>
  <c r="AB1424" i="5"/>
  <c r="T1415" i="5"/>
  <c r="S1415" i="5"/>
  <c r="T1253" i="5"/>
  <c r="AB1253" i="5"/>
  <c r="T1245" i="5"/>
  <c r="S1245" i="5"/>
  <c r="AB1245" i="5"/>
  <c r="G2395" i="5"/>
  <c r="E2395" i="5"/>
  <c r="X2395" i="5" s="1"/>
  <c r="R2395" i="5"/>
  <c r="I2347" i="5"/>
  <c r="G2347" i="5"/>
  <c r="E2331" i="5"/>
  <c r="X2331" i="5" s="1"/>
  <c r="G2331" i="5"/>
  <c r="H2331" i="5"/>
  <c r="F2331" i="5"/>
  <c r="R2331" i="5"/>
  <c r="I2331" i="5"/>
  <c r="F2288" i="5"/>
  <c r="E2288" i="5"/>
  <c r="X2288" i="5" s="1"/>
  <c r="J2288" i="5"/>
  <c r="H2288" i="5"/>
  <c r="E2241" i="5"/>
  <c r="X2241" i="5" s="1"/>
  <c r="H2241" i="5"/>
  <c r="R2241" i="5"/>
  <c r="J2241" i="5"/>
  <c r="F2241" i="5"/>
  <c r="G1197" i="5"/>
  <c r="E1197" i="5"/>
  <c r="X1197" i="5" s="1"/>
  <c r="H1197" i="5"/>
  <c r="I1197" i="5"/>
  <c r="F1197" i="5"/>
  <c r="V2481" i="5"/>
  <c r="G2481" i="5" s="1"/>
  <c r="AB2481" i="5"/>
  <c r="V2433" i="5"/>
  <c r="G2433" i="5" s="1"/>
  <c r="AB2433" i="5"/>
  <c r="V2397" i="5"/>
  <c r="G2397" i="5" s="1"/>
  <c r="AB2397" i="5"/>
  <c r="AB2349" i="5"/>
  <c r="V2349" i="5"/>
  <c r="G2349" i="5"/>
  <c r="G2301" i="5"/>
  <c r="H2301" i="5"/>
  <c r="V2265" i="5"/>
  <c r="G2265" i="5" s="1"/>
  <c r="V2217" i="5"/>
  <c r="G2217" i="5" s="1"/>
  <c r="AB2217" i="5"/>
  <c r="AB2157" i="5"/>
  <c r="V2157" i="5"/>
  <c r="G2157" i="5" s="1"/>
  <c r="V2121" i="5"/>
  <c r="G2121" i="5" s="1"/>
  <c r="H2073" i="5"/>
  <c r="I2073" i="5"/>
  <c r="R2073" i="5"/>
  <c r="F2073" i="5"/>
  <c r="J2073" i="5"/>
  <c r="AB2037" i="5"/>
  <c r="V2037" i="5"/>
  <c r="G2037" i="5" s="1"/>
  <c r="V2001" i="5"/>
  <c r="V1929" i="5"/>
  <c r="G1929" i="5" s="1"/>
  <c r="AB1929" i="5"/>
  <c r="V1821" i="5"/>
  <c r="AB1821" i="5"/>
  <c r="V1773" i="5"/>
  <c r="G1773" i="5" s="1"/>
  <c r="V1737" i="5"/>
  <c r="G1737" i="5" s="1"/>
  <c r="V1713" i="5"/>
  <c r="G1713" i="5" s="1"/>
  <c r="AB1713" i="5"/>
  <c r="V1665" i="5"/>
  <c r="AB1665" i="5"/>
  <c r="AB1629" i="5"/>
  <c r="V1581" i="5"/>
  <c r="G1581" i="5" s="1"/>
  <c r="V1557" i="5"/>
  <c r="G1557" i="5" s="1"/>
  <c r="AB1557" i="5"/>
  <c r="AB1521" i="5"/>
  <c r="AB1473" i="5"/>
  <c r="V1473" i="5"/>
  <c r="V1413" i="5"/>
  <c r="J1413" i="5" s="1"/>
  <c r="AB1413" i="5"/>
  <c r="I1329" i="5"/>
  <c r="R1329" i="5"/>
  <c r="F1329" i="5"/>
  <c r="H1269" i="5"/>
  <c r="I1269" i="5"/>
  <c r="G1221" i="5"/>
  <c r="AB1209" i="5"/>
  <c r="V1209" i="5"/>
  <c r="G1209" i="5" s="1"/>
  <c r="V1173" i="5"/>
  <c r="G1173" i="5" s="1"/>
  <c r="AB1173" i="5"/>
  <c r="T1173" i="5"/>
  <c r="S1173" i="5"/>
  <c r="J2395" i="5"/>
  <c r="R2394" i="5"/>
  <c r="J2394" i="5"/>
  <c r="I2394" i="5"/>
  <c r="E1820" i="5"/>
  <c r="X1820" i="5" s="1"/>
  <c r="G1820" i="5"/>
  <c r="F1820" i="5"/>
  <c r="R1820" i="5"/>
  <c r="J1820" i="5"/>
  <c r="I1820" i="5"/>
  <c r="H1820" i="5"/>
  <c r="E1373" i="5"/>
  <c r="X1373" i="5" s="1"/>
  <c r="G1373" i="5"/>
  <c r="F1373" i="5"/>
  <c r="I1373" i="5"/>
  <c r="J1373" i="5"/>
  <c r="E1358" i="5"/>
  <c r="X1358" i="5" s="1"/>
  <c r="J1358" i="5"/>
  <c r="H1358" i="5"/>
  <c r="I1358" i="5"/>
  <c r="E1216" i="5"/>
  <c r="X1216" i="5" s="1"/>
  <c r="F1216" i="5"/>
  <c r="G1216" i="5"/>
  <c r="H1216" i="5"/>
  <c r="R1216" i="5"/>
  <c r="T2458" i="5"/>
  <c r="AB2458" i="5"/>
  <c r="S2458" i="5"/>
  <c r="T1824" i="5"/>
  <c r="AB1824" i="5"/>
  <c r="T1792" i="5"/>
  <c r="AB1792" i="5"/>
  <c r="S1792" i="5"/>
  <c r="R2361" i="5"/>
  <c r="R1358" i="5"/>
  <c r="I1642" i="5"/>
  <c r="F2154" i="5"/>
  <c r="H2395" i="5"/>
  <c r="H1373" i="5"/>
  <c r="G1269" i="5"/>
  <c r="R2466" i="5"/>
  <c r="G2466" i="5"/>
  <c r="I2466" i="5"/>
  <c r="H2466" i="5"/>
  <c r="J2466" i="5"/>
  <c r="F2415" i="5"/>
  <c r="J2415" i="5"/>
  <c r="I2415" i="5"/>
  <c r="H2415" i="5"/>
  <c r="E1574" i="5"/>
  <c r="X1574" i="5" s="1"/>
  <c r="H1574" i="5"/>
  <c r="E1318" i="5"/>
  <c r="X1318" i="5" s="1"/>
  <c r="R1318" i="5"/>
  <c r="F1318" i="5"/>
  <c r="E1233" i="5"/>
  <c r="X1233" i="5" s="1"/>
  <c r="I2361" i="5"/>
  <c r="F1358" i="5"/>
  <c r="J1574" i="5"/>
  <c r="J1329" i="5"/>
  <c r="H2442" i="5"/>
  <c r="R2288" i="5"/>
  <c r="J1625" i="5"/>
  <c r="F2260" i="5"/>
  <c r="AB1389" i="5"/>
  <c r="E1538" i="5"/>
  <c r="X1538" i="5" s="1"/>
  <c r="G1538" i="5"/>
  <c r="H1538" i="5"/>
  <c r="I1538" i="5"/>
  <c r="R1538" i="5"/>
  <c r="J1538" i="5"/>
  <c r="E1481" i="5"/>
  <c r="X1481" i="5" s="1"/>
  <c r="F1481" i="5"/>
  <c r="R1481" i="5"/>
  <c r="J1481" i="5"/>
  <c r="H1481" i="5"/>
  <c r="I1481" i="5"/>
  <c r="E1337" i="5"/>
  <c r="X1337" i="5" s="1"/>
  <c r="J1337" i="5"/>
  <c r="I1337" i="5"/>
  <c r="H1337" i="5"/>
  <c r="F1337" i="5"/>
  <c r="G1337" i="5"/>
  <c r="R1337" i="5"/>
  <c r="E1298" i="5"/>
  <c r="X1298" i="5" s="1"/>
  <c r="G1298" i="5"/>
  <c r="R1298" i="5"/>
  <c r="I1298" i="5"/>
  <c r="J1318" i="5"/>
  <c r="R1869" i="5"/>
  <c r="R1574" i="5"/>
  <c r="I2442" i="5"/>
  <c r="I2288" i="5"/>
  <c r="AB1581" i="5"/>
  <c r="G1358" i="5"/>
  <c r="R1943" i="5"/>
  <c r="F1943" i="5"/>
  <c r="E1925" i="5"/>
  <c r="X1925" i="5" s="1"/>
  <c r="R1925" i="5"/>
  <c r="J1925" i="5"/>
  <c r="I1925" i="5"/>
  <c r="G1925" i="5"/>
  <c r="F1925" i="5"/>
  <c r="E1874" i="5"/>
  <c r="X1874" i="5" s="1"/>
  <c r="H1874" i="5"/>
  <c r="I1874" i="5"/>
  <c r="E1671" i="5"/>
  <c r="X1671" i="5" s="1"/>
  <c r="R1671" i="5"/>
  <c r="J1671" i="5"/>
  <c r="G1671" i="5"/>
  <c r="E1632" i="5"/>
  <c r="X1632" i="5" s="1"/>
  <c r="R1632" i="5"/>
  <c r="J1632" i="5"/>
  <c r="F1632" i="5"/>
  <c r="E1438" i="5"/>
  <c r="X1438" i="5" s="1"/>
  <c r="I1438" i="5"/>
  <c r="F1438" i="5"/>
  <c r="E1370" i="5"/>
  <c r="X1370" i="5" s="1"/>
  <c r="R1370" i="5"/>
  <c r="G1370" i="5"/>
  <c r="J1370" i="5"/>
  <c r="E2361" i="5"/>
  <c r="X2361" i="5" s="1"/>
  <c r="F2361" i="5"/>
  <c r="H2361" i="5"/>
  <c r="E1262" i="5"/>
  <c r="X1262" i="5" s="1"/>
  <c r="G1262" i="5"/>
  <c r="V2493" i="5"/>
  <c r="G2493" i="5" s="1"/>
  <c r="V2457" i="5"/>
  <c r="J2457" i="5" s="1"/>
  <c r="AB2457" i="5"/>
  <c r="AB2409" i="5"/>
  <c r="V2409" i="5"/>
  <c r="G2409" i="5" s="1"/>
  <c r="G2361" i="5"/>
  <c r="AB2361" i="5"/>
  <c r="AB2313" i="5"/>
  <c r="G2313" i="5"/>
  <c r="E2253" i="5"/>
  <c r="X2253" i="5" s="1"/>
  <c r="I2253" i="5"/>
  <c r="G2205" i="5"/>
  <c r="V2205" i="5"/>
  <c r="AB2205" i="5"/>
  <c r="I2145" i="5"/>
  <c r="F2145" i="5"/>
  <c r="E2097" i="5"/>
  <c r="X2097" i="5" s="1"/>
  <c r="I2097" i="5"/>
  <c r="R2097" i="5"/>
  <c r="J2097" i="5"/>
  <c r="AB2061" i="5"/>
  <c r="V2061" i="5"/>
  <c r="H2061" i="5" s="1"/>
  <c r="G2025" i="5"/>
  <c r="AB2025" i="5"/>
  <c r="V1977" i="5"/>
  <c r="AB1977" i="5"/>
  <c r="G1953" i="5"/>
  <c r="V1953" i="5"/>
  <c r="V1905" i="5"/>
  <c r="G1905" i="5"/>
  <c r="AB1905" i="5"/>
  <c r="AB1857" i="5"/>
  <c r="V1857" i="5"/>
  <c r="G1857" i="5" s="1"/>
  <c r="G1797" i="5"/>
  <c r="R1797" i="5"/>
  <c r="E1797" i="5"/>
  <c r="X1797" i="5" s="1"/>
  <c r="F1797" i="5"/>
  <c r="J1797" i="5"/>
  <c r="I1797" i="5"/>
  <c r="H1797" i="5"/>
  <c r="V1749" i="5"/>
  <c r="AB1749" i="5"/>
  <c r="V1689" i="5"/>
  <c r="AB1689" i="5"/>
  <c r="G1641" i="5"/>
  <c r="E1641" i="5"/>
  <c r="X1641" i="5" s="1"/>
  <c r="J1641" i="5"/>
  <c r="R1641" i="5"/>
  <c r="I1641" i="5"/>
  <c r="H1641" i="5"/>
  <c r="V1605" i="5"/>
  <c r="H1605" i="5" s="1"/>
  <c r="AB1605" i="5"/>
  <c r="AB1545" i="5"/>
  <c r="G1545" i="5"/>
  <c r="V1545" i="5"/>
  <c r="J1485" i="5"/>
  <c r="I1485" i="5"/>
  <c r="H1485" i="5"/>
  <c r="V1437" i="5"/>
  <c r="G1437" i="5"/>
  <c r="AB1401" i="5"/>
  <c r="V1401" i="5"/>
  <c r="G1401" i="5" s="1"/>
  <c r="V1365" i="5"/>
  <c r="AB1365" i="5"/>
  <c r="AB1317" i="5"/>
  <c r="AB1281" i="5"/>
  <c r="V1281" i="5"/>
  <c r="G1281" i="5" s="1"/>
  <c r="AB1257" i="5"/>
  <c r="V1257" i="5"/>
  <c r="E1257" i="5" s="1"/>
  <c r="X1257" i="5" s="1"/>
  <c r="V1185" i="5"/>
  <c r="G1185" i="5" s="1"/>
  <c r="T2504" i="5"/>
  <c r="AB2504" i="5"/>
  <c r="S1772" i="5"/>
  <c r="T1772" i="5"/>
  <c r="AB1772" i="5"/>
  <c r="S1304" i="5"/>
  <c r="T1304" i="5"/>
  <c r="J2145" i="5"/>
  <c r="AB1917" i="5"/>
  <c r="R1197" i="5"/>
  <c r="AB2097" i="5"/>
  <c r="T2410" i="5"/>
  <c r="S2410" i="5"/>
  <c r="J1262" i="5"/>
  <c r="J2133" i="5"/>
  <c r="R2145" i="5"/>
  <c r="AB1869" i="5"/>
  <c r="G2479" i="5"/>
  <c r="E2479" i="5"/>
  <c r="X2479" i="5" s="1"/>
  <c r="I2479" i="5"/>
  <c r="R2479" i="5"/>
  <c r="F2479" i="5"/>
  <c r="H2479" i="5"/>
  <c r="I2344" i="5"/>
  <c r="H2344" i="5"/>
  <c r="R2344" i="5"/>
  <c r="F2344" i="5"/>
  <c r="R1262" i="5"/>
  <c r="J1869" i="5"/>
  <c r="I2395" i="5"/>
  <c r="G1912" i="5"/>
  <c r="H1912" i="5"/>
  <c r="V1521" i="5"/>
  <c r="G1521" i="5" s="1"/>
  <c r="F1869" i="5"/>
  <c r="H2211" i="5"/>
  <c r="F1574" i="5"/>
  <c r="J2347" i="5"/>
  <c r="F2325" i="5"/>
  <c r="I1233" i="5"/>
  <c r="F2301" i="5"/>
  <c r="S2495" i="5"/>
  <c r="J2442" i="5"/>
  <c r="F1912" i="5"/>
  <c r="J1912" i="5"/>
  <c r="H2166" i="5"/>
  <c r="J1843" i="5"/>
  <c r="R1625" i="5"/>
  <c r="F1617" i="5"/>
  <c r="AB2265" i="5"/>
  <c r="H1844" i="5"/>
  <c r="AB1509" i="5"/>
  <c r="AB1449" i="5"/>
  <c r="AB1269" i="5"/>
  <c r="AB1641" i="5"/>
  <c r="G2154" i="5"/>
  <c r="E2127" i="5"/>
  <c r="X2127" i="5" s="1"/>
  <c r="F2127" i="5"/>
  <c r="J2127" i="5"/>
  <c r="I2127" i="5"/>
  <c r="R2127" i="5"/>
  <c r="E2073" i="5"/>
  <c r="X2073" i="5" s="1"/>
  <c r="E2059" i="5"/>
  <c r="X2059" i="5" s="1"/>
  <c r="G2059" i="5"/>
  <c r="F2059" i="5"/>
  <c r="I2059" i="5"/>
  <c r="H2059" i="5"/>
  <c r="R2059" i="5"/>
  <c r="J2059" i="5"/>
  <c r="I1940" i="5"/>
  <c r="F1940" i="5"/>
  <c r="J1940" i="5"/>
  <c r="R1940" i="5"/>
  <c r="H1648" i="5"/>
  <c r="F1648" i="5"/>
  <c r="I1648" i="5"/>
  <c r="V1629" i="5"/>
  <c r="E1551" i="5"/>
  <c r="X1551" i="5" s="1"/>
  <c r="I1551" i="5"/>
  <c r="J1551" i="5"/>
  <c r="R1551" i="5"/>
  <c r="G1551" i="5"/>
  <c r="H1551" i="5"/>
  <c r="V1533" i="5"/>
  <c r="G1533" i="5" s="1"/>
  <c r="E1825" i="5"/>
  <c r="X1825" i="5" s="1"/>
  <c r="G1825" i="5"/>
  <c r="I1825" i="5"/>
  <c r="R1825" i="5"/>
  <c r="J1825" i="5"/>
  <c r="H1825" i="5"/>
  <c r="G1179" i="5"/>
  <c r="H1179" i="5"/>
  <c r="F1179" i="5"/>
  <c r="V2421" i="5"/>
  <c r="G2421" i="5" s="1"/>
  <c r="AB2421" i="5"/>
  <c r="V2385" i="5"/>
  <c r="G2385" i="5" s="1"/>
  <c r="AB2385" i="5"/>
  <c r="H2337" i="5"/>
  <c r="E2337" i="5"/>
  <c r="X2337" i="5" s="1"/>
  <c r="F2337" i="5"/>
  <c r="AB2289" i="5"/>
  <c r="V2289" i="5"/>
  <c r="J2289" i="5" s="1"/>
  <c r="V2169" i="5"/>
  <c r="G2169" i="5" s="1"/>
  <c r="AB2169" i="5"/>
  <c r="V2049" i="5"/>
  <c r="G2049" i="5" s="1"/>
  <c r="AB2049" i="5"/>
  <c r="G1989" i="5"/>
  <c r="I1989" i="5"/>
  <c r="R1989" i="5"/>
  <c r="F1989" i="5"/>
  <c r="J1989" i="5"/>
  <c r="V1941" i="5"/>
  <c r="AB1941" i="5"/>
  <c r="V1893" i="5"/>
  <c r="G1893" i="5" s="1"/>
  <c r="AB1893" i="5"/>
  <c r="V1845" i="5"/>
  <c r="E1845" i="5" s="1"/>
  <c r="X1845" i="5" s="1"/>
  <c r="AB1845" i="5"/>
  <c r="AB1809" i="5"/>
  <c r="G1809" i="5"/>
  <c r="AB1761" i="5"/>
  <c r="V1761" i="5"/>
  <c r="E1761" i="5" s="1"/>
  <c r="X1761" i="5" s="1"/>
  <c r="J1701" i="5"/>
  <c r="H1701" i="5"/>
  <c r="I1701" i="5"/>
  <c r="F1701" i="5"/>
  <c r="AB1653" i="5"/>
  <c r="V1653" i="5"/>
  <c r="V1593" i="5"/>
  <c r="AB1593" i="5"/>
  <c r="AB1497" i="5"/>
  <c r="G1497" i="5"/>
  <c r="V1461" i="5"/>
  <c r="G1461" i="5" s="1"/>
  <c r="AB1461" i="5"/>
  <c r="V1425" i="5"/>
  <c r="G1425" i="5" s="1"/>
  <c r="V1377" i="5"/>
  <c r="I1377" i="5" s="1"/>
  <c r="AB1377" i="5"/>
  <c r="AB1341" i="5"/>
  <c r="V1341" i="5"/>
  <c r="G1341" i="5" s="1"/>
  <c r="V1293" i="5"/>
  <c r="E1293" i="5" s="1"/>
  <c r="X1293" i="5" s="1"/>
  <c r="AB1293" i="5"/>
  <c r="R1233" i="5"/>
  <c r="F1233" i="5"/>
  <c r="T1279" i="5"/>
  <c r="AB1279" i="5"/>
  <c r="S1279" i="5"/>
  <c r="I1262" i="5"/>
  <c r="G1233" i="5"/>
  <c r="F2416" i="5"/>
  <c r="J2416" i="5"/>
  <c r="I2416" i="5"/>
  <c r="H2416" i="5"/>
  <c r="V2373" i="5"/>
  <c r="G2373" i="5" s="1"/>
  <c r="E2287" i="5"/>
  <c r="X2287" i="5" s="1"/>
  <c r="I2287" i="5"/>
  <c r="H2287" i="5"/>
  <c r="F2287" i="5"/>
  <c r="R2287" i="5"/>
  <c r="G2287" i="5"/>
  <c r="J2287" i="5"/>
  <c r="T2113" i="5"/>
  <c r="AB2113" i="5"/>
  <c r="S2113" i="5"/>
  <c r="T1318" i="5"/>
  <c r="S1318" i="5"/>
  <c r="AB1318" i="5"/>
  <c r="R2301" i="5"/>
  <c r="AB1185" i="5"/>
  <c r="E2431" i="5"/>
  <c r="X2431" i="5" s="1"/>
  <c r="G2431" i="5"/>
  <c r="I2431" i="5"/>
  <c r="H2431" i="5"/>
  <c r="F2431" i="5"/>
  <c r="I1419" i="5"/>
  <c r="J1419" i="5"/>
  <c r="E1419" i="5"/>
  <c r="X1419" i="5" s="1"/>
  <c r="G1419" i="5"/>
  <c r="H1419" i="5"/>
  <c r="J1276" i="5"/>
  <c r="F1276" i="5"/>
  <c r="E1215" i="5"/>
  <c r="X1215" i="5" s="1"/>
  <c r="J1215" i="5"/>
  <c r="R1215" i="5"/>
  <c r="I1318" i="5"/>
  <c r="R2415" i="5"/>
  <c r="F2253" i="5"/>
  <c r="AB1221" i="5"/>
  <c r="AB2145" i="5"/>
  <c r="G2097" i="5"/>
  <c r="G1862" i="5"/>
  <c r="H1862" i="5"/>
  <c r="I1862" i="5"/>
  <c r="F1862" i="5"/>
  <c r="V1317" i="5"/>
  <c r="G1317" i="5" s="1"/>
  <c r="J2490" i="5"/>
  <c r="R2347" i="5"/>
  <c r="J2331" i="5"/>
  <c r="F2442" i="5"/>
  <c r="J2337" i="5"/>
  <c r="F2097" i="5"/>
  <c r="R1843" i="5"/>
  <c r="F1827" i="5"/>
  <c r="I1827" i="5"/>
  <c r="I2301" i="5"/>
  <c r="I2241" i="5"/>
  <c r="I1844" i="5"/>
  <c r="AB2337" i="5"/>
  <c r="AB2325" i="5"/>
  <c r="G1215" i="5"/>
  <c r="G2251" i="5"/>
  <c r="F2251" i="5"/>
  <c r="E2251" i="5"/>
  <c r="X2251" i="5" s="1"/>
  <c r="E2235" i="5"/>
  <c r="X2235" i="5" s="1"/>
  <c r="G2235" i="5"/>
  <c r="E2215" i="5"/>
  <c r="X2215" i="5" s="1"/>
  <c r="R2215" i="5"/>
  <c r="H2215" i="5"/>
  <c r="J2215" i="5"/>
  <c r="G2215" i="5"/>
  <c r="F2140" i="5"/>
  <c r="E2140" i="5"/>
  <c r="X2140" i="5" s="1"/>
  <c r="G2092" i="5"/>
  <c r="E2092" i="5"/>
  <c r="X2092" i="5" s="1"/>
  <c r="R2092" i="5"/>
  <c r="F2092" i="5"/>
  <c r="H2092" i="5"/>
  <c r="E2058" i="5"/>
  <c r="X2058" i="5" s="1"/>
  <c r="G2058" i="5"/>
  <c r="R2058" i="5"/>
  <c r="J2058" i="5"/>
  <c r="I2058" i="5"/>
  <c r="G2042" i="5"/>
  <c r="R2042" i="5"/>
  <c r="I2042" i="5"/>
  <c r="F2042" i="5"/>
  <c r="E1961" i="5"/>
  <c r="X1961" i="5" s="1"/>
  <c r="I1961" i="5"/>
  <c r="J1961" i="5"/>
  <c r="G1961" i="5"/>
  <c r="F1961" i="5"/>
  <c r="R1961" i="5"/>
  <c r="H1961" i="5"/>
  <c r="E1939" i="5"/>
  <c r="X1939" i="5" s="1"/>
  <c r="R1939" i="5"/>
  <c r="J1939" i="5"/>
  <c r="I1939" i="5"/>
  <c r="G1924" i="5"/>
  <c r="I1924" i="5"/>
  <c r="R1924" i="5"/>
  <c r="H1794" i="5"/>
  <c r="E1794" i="5"/>
  <c r="X1794" i="5" s="1"/>
  <c r="E1755" i="5"/>
  <c r="X1755" i="5" s="1"/>
  <c r="G1755" i="5"/>
  <c r="F2466" i="5"/>
  <c r="R2337" i="5"/>
  <c r="H2097" i="5"/>
  <c r="J1827" i="5"/>
  <c r="I1216" i="5"/>
  <c r="AB2133" i="5"/>
  <c r="AB2301" i="5"/>
  <c r="AB1617" i="5"/>
  <c r="AB1437" i="5"/>
  <c r="S1233" i="5"/>
  <c r="G2253" i="5"/>
  <c r="G2073" i="5"/>
  <c r="I2283" i="5"/>
  <c r="J2283" i="5"/>
  <c r="F2283" i="5"/>
  <c r="E2264" i="5"/>
  <c r="X2264" i="5" s="1"/>
  <c r="H2264" i="5"/>
  <c r="J2264" i="5"/>
  <c r="I2264" i="5"/>
  <c r="R2264" i="5"/>
  <c r="F2264" i="5"/>
  <c r="G2234" i="5"/>
  <c r="E2234" i="5"/>
  <c r="X2234" i="5" s="1"/>
  <c r="V2181" i="5"/>
  <c r="G2181" i="5" s="1"/>
  <c r="V2109" i="5"/>
  <c r="I2109" i="5" s="1"/>
  <c r="E2056" i="5"/>
  <c r="X2056" i="5" s="1"/>
  <c r="R2056" i="5"/>
  <c r="J2056" i="5"/>
  <c r="E2040" i="5"/>
  <c r="X2040" i="5" s="1"/>
  <c r="H2040" i="5"/>
  <c r="E1988" i="5"/>
  <c r="X1988" i="5" s="1"/>
  <c r="G1988" i="5"/>
  <c r="J1988" i="5"/>
  <c r="I1988" i="5"/>
  <c r="F1988" i="5"/>
  <c r="H1988" i="5"/>
  <c r="I1923" i="5"/>
  <c r="G1923" i="5"/>
  <c r="E1923" i="5"/>
  <c r="X1923" i="5" s="1"/>
  <c r="E1813" i="5"/>
  <c r="X1813" i="5" s="1"/>
  <c r="F1813" i="5"/>
  <c r="R1813" i="5"/>
  <c r="G1813" i="5"/>
  <c r="J1813" i="5"/>
  <c r="I1695" i="5"/>
  <c r="H1695" i="5"/>
  <c r="F1695" i="5"/>
  <c r="G2391" i="5"/>
  <c r="E2391" i="5"/>
  <c r="X2391" i="5" s="1"/>
  <c r="E1986" i="5"/>
  <c r="X1986" i="5" s="1"/>
  <c r="R1986" i="5"/>
  <c r="G1986" i="5"/>
  <c r="I1986" i="5"/>
  <c r="I1937" i="5"/>
  <c r="R1937" i="5"/>
  <c r="F1684" i="5"/>
  <c r="R1684" i="5"/>
  <c r="E1659" i="5"/>
  <c r="X1659" i="5" s="1"/>
  <c r="G1659" i="5"/>
  <c r="H1659" i="5"/>
  <c r="F1548" i="5"/>
  <c r="E1548" i="5"/>
  <c r="X1548" i="5" s="1"/>
  <c r="R1548" i="5"/>
  <c r="H1548" i="5"/>
  <c r="E1434" i="5"/>
  <c r="X1434" i="5" s="1"/>
  <c r="G1434" i="5"/>
  <c r="J1434" i="5"/>
  <c r="H1408" i="5"/>
  <c r="R1408" i="5"/>
  <c r="I1408" i="5"/>
  <c r="F1408" i="5"/>
  <c r="J1408" i="5"/>
  <c r="R1350" i="5"/>
  <c r="I1350" i="5"/>
  <c r="G1231" i="5"/>
  <c r="E1231" i="5"/>
  <c r="X1231" i="5" s="1"/>
  <c r="I1231" i="5"/>
  <c r="T2140" i="5"/>
  <c r="S2140" i="5"/>
  <c r="T2079" i="5"/>
  <c r="S2079" i="5"/>
  <c r="T1894" i="5"/>
  <c r="S1894" i="5"/>
  <c r="T1639" i="5"/>
  <c r="AB1639" i="5"/>
  <c r="S1639" i="5"/>
  <c r="T1552" i="5"/>
  <c r="AB1552" i="5"/>
  <c r="T1535" i="5"/>
  <c r="S1535" i="5"/>
  <c r="G2306" i="5"/>
  <c r="J2306" i="5"/>
  <c r="E2306" i="5"/>
  <c r="X2306" i="5" s="1"/>
  <c r="F2102" i="5"/>
  <c r="H2102" i="5"/>
  <c r="H2081" i="5"/>
  <c r="F2081" i="5"/>
  <c r="E1984" i="5"/>
  <c r="X1984" i="5" s="1"/>
  <c r="J1984" i="5"/>
  <c r="R1984" i="5"/>
  <c r="G1579" i="5"/>
  <c r="E1579" i="5"/>
  <c r="X1579" i="5" s="1"/>
  <c r="H1493" i="5"/>
  <c r="I1493" i="5"/>
  <c r="J1384" i="5"/>
  <c r="F1384" i="5"/>
  <c r="G1349" i="5"/>
  <c r="H1349" i="5"/>
  <c r="E1314" i="5"/>
  <c r="X1314" i="5" s="1"/>
  <c r="G1314" i="5"/>
  <c r="R1314" i="5"/>
  <c r="J1192" i="5"/>
  <c r="I1192" i="5"/>
  <c r="R1192" i="5"/>
  <c r="E1170" i="5"/>
  <c r="X1170" i="5" s="1"/>
  <c r="G1170" i="5"/>
  <c r="H1170" i="5"/>
  <c r="G2475" i="5"/>
  <c r="I2475" i="5"/>
  <c r="H2475" i="5"/>
  <c r="E2444" i="5"/>
  <c r="X2444" i="5" s="1"/>
  <c r="H2444" i="5"/>
  <c r="F2444" i="5"/>
  <c r="I2384" i="5"/>
  <c r="H2384" i="5"/>
  <c r="E2130" i="5"/>
  <c r="X2130" i="5" s="1"/>
  <c r="H2130" i="5"/>
  <c r="I2130" i="5"/>
  <c r="F2130" i="5"/>
  <c r="G2130" i="5"/>
  <c r="G2031" i="5"/>
  <c r="E2031" i="5"/>
  <c r="X2031" i="5" s="1"/>
  <c r="I2031" i="5"/>
  <c r="E1868" i="5"/>
  <c r="X1868" i="5" s="1"/>
  <c r="G1868" i="5"/>
  <c r="E1743" i="5"/>
  <c r="X1743" i="5" s="1"/>
  <c r="J1743" i="5"/>
  <c r="E1723" i="5"/>
  <c r="X1723" i="5" s="1"/>
  <c r="G1723" i="5"/>
  <c r="E1313" i="5"/>
  <c r="X1313" i="5" s="1"/>
  <c r="J1313" i="5"/>
  <c r="F1313" i="5"/>
  <c r="R2081" i="5"/>
  <c r="E2492" i="5"/>
  <c r="X2492" i="5" s="1"/>
  <c r="G2492" i="5"/>
  <c r="I2492" i="5"/>
  <c r="J2492" i="5"/>
  <c r="F2406" i="5"/>
  <c r="R2406" i="5"/>
  <c r="E2383" i="5"/>
  <c r="X2383" i="5" s="1"/>
  <c r="G2383" i="5"/>
  <c r="G2320" i="5"/>
  <c r="E2320" i="5"/>
  <c r="X2320" i="5" s="1"/>
  <c r="G2062" i="5"/>
  <c r="R2062" i="5"/>
  <c r="E2011" i="5"/>
  <c r="X2011" i="5" s="1"/>
  <c r="G2011" i="5"/>
  <c r="F2011" i="5"/>
  <c r="R2011" i="5"/>
  <c r="E1760" i="5"/>
  <c r="X1760" i="5" s="1"/>
  <c r="H1760" i="5"/>
  <c r="E1722" i="5"/>
  <c r="X1722" i="5" s="1"/>
  <c r="H1722" i="5"/>
  <c r="J1722" i="5"/>
  <c r="E1469" i="5"/>
  <c r="X1469" i="5" s="1"/>
  <c r="H1469" i="5"/>
  <c r="F1349" i="5"/>
  <c r="E2491" i="5"/>
  <c r="X2491" i="5" s="1"/>
  <c r="G2491" i="5"/>
  <c r="F2076" i="5"/>
  <c r="E2076" i="5"/>
  <c r="X2076" i="5" s="1"/>
  <c r="G1996" i="5"/>
  <c r="H1996" i="5"/>
  <c r="E1795" i="5"/>
  <c r="X1795" i="5" s="1"/>
  <c r="G1795" i="5"/>
  <c r="E1634" i="5"/>
  <c r="X1634" i="5" s="1"/>
  <c r="I1634" i="5"/>
  <c r="F1634" i="5"/>
  <c r="E1616" i="5"/>
  <c r="X1616" i="5" s="1"/>
  <c r="J1616" i="5"/>
  <c r="H1616" i="5"/>
  <c r="F1506" i="5"/>
  <c r="E1506" i="5"/>
  <c r="X1506" i="5" s="1"/>
  <c r="I1506" i="5"/>
  <c r="G2476" i="5"/>
  <c r="E2476" i="5"/>
  <c r="X2476" i="5" s="1"/>
  <c r="E2346" i="5"/>
  <c r="X2346" i="5" s="1"/>
  <c r="J2346" i="5"/>
  <c r="F2346" i="5"/>
  <c r="E2249" i="5"/>
  <c r="X2249" i="5" s="1"/>
  <c r="I2249" i="5"/>
  <c r="R2249" i="5"/>
  <c r="F2249" i="5"/>
  <c r="G2142" i="5"/>
  <c r="E2142" i="5"/>
  <c r="X2142" i="5" s="1"/>
  <c r="E2115" i="5"/>
  <c r="X2115" i="5" s="1"/>
  <c r="G2115" i="5"/>
  <c r="E2094" i="5"/>
  <c r="X2094" i="5" s="1"/>
  <c r="G2094" i="5"/>
  <c r="G2044" i="5"/>
  <c r="E2044" i="5"/>
  <c r="X2044" i="5" s="1"/>
  <c r="E1828" i="5"/>
  <c r="X1828" i="5" s="1"/>
  <c r="E1756" i="5"/>
  <c r="X1756" i="5" s="1"/>
  <c r="J1756" i="5"/>
  <c r="E1720" i="5"/>
  <c r="X1720" i="5" s="1"/>
  <c r="G1682" i="5"/>
  <c r="E1682" i="5"/>
  <c r="X1682" i="5" s="1"/>
  <c r="G1519" i="5"/>
  <c r="H1519" i="5"/>
  <c r="E2458" i="5"/>
  <c r="X2458" i="5" s="1"/>
  <c r="H2458" i="5"/>
  <c r="V2410" i="5"/>
  <c r="G2410" i="5" s="1"/>
  <c r="V2398" i="5"/>
  <c r="G2398" i="5"/>
  <c r="V2386" i="5"/>
  <c r="G2386" i="5" s="1"/>
  <c r="V2374" i="5"/>
  <c r="G2374" i="5" s="1"/>
  <c r="V2350" i="5"/>
  <c r="E2350" i="5" s="1"/>
  <c r="X2350" i="5" s="1"/>
  <c r="V2338" i="5"/>
  <c r="F2338" i="5" s="1"/>
  <c r="V2326" i="5"/>
  <c r="AB2326" i="5"/>
  <c r="G2326" i="5"/>
  <c r="V2254" i="5"/>
  <c r="E2218" i="5"/>
  <c r="X2218" i="5" s="1"/>
  <c r="I2218" i="5"/>
  <c r="H2218" i="5"/>
  <c r="V2206" i="5"/>
  <c r="G2206" i="5" s="1"/>
  <c r="R2146" i="5"/>
  <c r="E2146" i="5"/>
  <c r="X2146" i="5" s="1"/>
  <c r="V2086" i="5"/>
  <c r="G2086" i="5"/>
  <c r="V2074" i="5"/>
  <c r="G2074" i="5" s="1"/>
  <c r="V2038" i="5"/>
  <c r="G2038" i="5" s="1"/>
  <c r="V1954" i="5"/>
  <c r="G1954" i="5" s="1"/>
  <c r="V1942" i="5"/>
  <c r="G1942" i="5"/>
  <c r="V1930" i="5"/>
  <c r="G1930" i="5" s="1"/>
  <c r="V1846" i="5"/>
  <c r="G1846" i="5"/>
  <c r="V1786" i="5"/>
  <c r="G1786" i="5" s="1"/>
  <c r="AB1786" i="5"/>
  <c r="V1774" i="5"/>
  <c r="AB1774" i="5"/>
  <c r="V1750" i="5"/>
  <c r="AB1750" i="5"/>
  <c r="V1738" i="5"/>
  <c r="G1738" i="5" s="1"/>
  <c r="AB1738" i="5"/>
  <c r="V1726" i="5"/>
  <c r="G1726" i="5"/>
  <c r="V1714" i="5"/>
  <c r="AB1714" i="5"/>
  <c r="AB1618" i="5"/>
  <c r="V1618" i="5"/>
  <c r="V1606" i="5"/>
  <c r="G1606" i="5" s="1"/>
  <c r="V1534" i="5"/>
  <c r="G1534" i="5" s="1"/>
  <c r="AB1534" i="5"/>
  <c r="AB1522" i="5"/>
  <c r="V1522" i="5"/>
  <c r="V1510" i="5"/>
  <c r="G1510" i="5" s="1"/>
  <c r="AB1510" i="5"/>
  <c r="V1474" i="5"/>
  <c r="G1474" i="5" s="1"/>
  <c r="AB1474" i="5"/>
  <c r="V1462" i="5"/>
  <c r="G1462" i="5" s="1"/>
  <c r="V1450" i="5"/>
  <c r="G1450" i="5"/>
  <c r="G1438" i="5"/>
  <c r="AB1438" i="5"/>
  <c r="V1390" i="5"/>
  <c r="V1282" i="5"/>
  <c r="G1282" i="5" s="1"/>
  <c r="V1270" i="5"/>
  <c r="G1270" i="5"/>
  <c r="V1234" i="5"/>
  <c r="G1234" i="5" s="1"/>
  <c r="V1162" i="5"/>
  <c r="G1162" i="5" s="1"/>
  <c r="AB1162" i="5"/>
  <c r="T2371" i="5"/>
  <c r="S2371" i="5"/>
  <c r="T2277" i="5"/>
  <c r="S2277" i="5"/>
  <c r="T1338" i="5"/>
  <c r="AB1338" i="5"/>
  <c r="E1889" i="5"/>
  <c r="X1889" i="5" s="1"/>
  <c r="R1889" i="5"/>
  <c r="J1889" i="5"/>
  <c r="I1889" i="5"/>
  <c r="E1865" i="5"/>
  <c r="X1865" i="5" s="1"/>
  <c r="G1865" i="5"/>
  <c r="E1805" i="5"/>
  <c r="X1805" i="5" s="1"/>
  <c r="F1805" i="5"/>
  <c r="G1805" i="5"/>
  <c r="T2251" i="5"/>
  <c r="S2251" i="5"/>
  <c r="AB1352" i="5"/>
  <c r="T1352" i="5"/>
  <c r="T1343" i="5"/>
  <c r="S1343" i="5"/>
  <c r="I2494" i="5"/>
  <c r="J2482" i="5"/>
  <c r="H2476" i="5"/>
  <c r="F2218" i="5"/>
  <c r="AB2122" i="5"/>
  <c r="J1894" i="5"/>
  <c r="AB1678" i="5"/>
  <c r="AB1666" i="5"/>
  <c r="AB1990" i="5"/>
  <c r="G2249" i="5"/>
  <c r="G2110" i="5"/>
  <c r="G1882" i="5"/>
  <c r="G1666" i="5"/>
  <c r="I2441" i="5"/>
  <c r="E2441" i="5"/>
  <c r="X2441" i="5" s="1"/>
  <c r="F2441" i="5"/>
  <c r="V2302" i="5"/>
  <c r="G2238" i="5"/>
  <c r="E2238" i="5"/>
  <c r="X2238" i="5" s="1"/>
  <c r="G2084" i="5"/>
  <c r="E2084" i="5"/>
  <c r="X2084" i="5" s="1"/>
  <c r="J2084" i="5"/>
  <c r="E1730" i="5"/>
  <c r="X1730" i="5" s="1"/>
  <c r="G1730" i="5"/>
  <c r="V1690" i="5"/>
  <c r="G1690" i="5" s="1"/>
  <c r="E1363" i="5"/>
  <c r="X1363" i="5" s="1"/>
  <c r="H1363" i="5"/>
  <c r="R1363" i="5"/>
  <c r="H1328" i="5"/>
  <c r="G1328" i="5"/>
  <c r="T1712" i="5"/>
  <c r="S1712" i="5"/>
  <c r="AB1712" i="5"/>
  <c r="T1701" i="5"/>
  <c r="AB1701" i="5"/>
  <c r="T1379" i="5"/>
  <c r="S1379" i="5"/>
  <c r="AB2486" i="5"/>
  <c r="R2482" i="5"/>
  <c r="R2476" i="5"/>
  <c r="AB1978" i="5"/>
  <c r="I1828" i="5"/>
  <c r="AB1402" i="5"/>
  <c r="AB2338" i="5"/>
  <c r="J2249" i="5"/>
  <c r="H2249" i="5"/>
  <c r="G2359" i="5"/>
  <c r="G2242" i="5"/>
  <c r="G1222" i="5"/>
  <c r="E2503" i="5"/>
  <c r="I2503" i="5"/>
  <c r="G2503" i="5"/>
  <c r="E2419" i="5"/>
  <c r="X2419" i="5" s="1"/>
  <c r="G2419" i="5"/>
  <c r="G2403" i="5"/>
  <c r="E2403" i="5"/>
  <c r="X2403" i="5" s="1"/>
  <c r="E2318" i="5"/>
  <c r="X2318" i="5" s="1"/>
  <c r="G2318" i="5"/>
  <c r="G2177" i="5"/>
  <c r="H2177" i="5"/>
  <c r="G1611" i="5"/>
  <c r="E1611" i="5"/>
  <c r="X1611" i="5" s="1"/>
  <c r="G1466" i="5"/>
  <c r="H1466" i="5"/>
  <c r="I1466" i="5"/>
  <c r="H1422" i="5"/>
  <c r="J1422" i="5"/>
  <c r="S2335" i="5"/>
  <c r="T2335" i="5"/>
  <c r="F2482" i="5"/>
  <c r="I2476" i="5"/>
  <c r="AB2362" i="5"/>
  <c r="AB2374" i="5"/>
  <c r="AB2242" i="5"/>
  <c r="I2146" i="5"/>
  <c r="AB2074" i="5"/>
  <c r="R1972" i="5"/>
  <c r="F1894" i="5"/>
  <c r="AB1930" i="5"/>
  <c r="AB2398" i="5"/>
  <c r="R2359" i="5"/>
  <c r="H2346" i="5"/>
  <c r="G2330" i="5"/>
  <c r="G1750" i="5"/>
  <c r="R2453" i="5"/>
  <c r="E2453" i="5"/>
  <c r="X2453" i="5" s="1"/>
  <c r="G2188" i="5"/>
  <c r="J2188" i="5"/>
  <c r="R1913" i="5"/>
  <c r="H1913" i="5"/>
  <c r="E1913" i="5"/>
  <c r="X1913" i="5" s="1"/>
  <c r="E1815" i="5"/>
  <c r="X1815" i="5" s="1"/>
  <c r="G1815" i="5"/>
  <c r="F1815" i="5"/>
  <c r="H1815" i="5"/>
  <c r="E1589" i="5"/>
  <c r="X1589" i="5" s="1"/>
  <c r="G1589" i="5"/>
  <c r="F1589" i="5"/>
  <c r="J1361" i="5"/>
  <c r="F1361" i="5"/>
  <c r="G1346" i="5"/>
  <c r="E1346" i="5"/>
  <c r="X1346" i="5" s="1"/>
  <c r="E2500" i="5"/>
  <c r="G2500" i="5"/>
  <c r="E2486" i="5"/>
  <c r="X2486" i="5" s="1"/>
  <c r="G2486" i="5"/>
  <c r="E2202" i="5"/>
  <c r="X2202" i="5" s="1"/>
  <c r="H2202" i="5"/>
  <c r="E2118" i="5"/>
  <c r="X2118" i="5" s="1"/>
  <c r="I2118" i="5"/>
  <c r="G1886" i="5"/>
  <c r="E1886" i="5"/>
  <c r="X1886" i="5" s="1"/>
  <c r="E1622" i="5"/>
  <c r="X1622" i="5" s="1"/>
  <c r="G1622" i="5"/>
  <c r="G1287" i="5"/>
  <c r="E1287" i="5"/>
  <c r="X1287" i="5" s="1"/>
  <c r="T1648" i="5"/>
  <c r="S1648" i="5"/>
  <c r="T1594" i="5"/>
  <c r="AB1594" i="5"/>
  <c r="T1551" i="5"/>
  <c r="AB1551" i="5"/>
  <c r="T2451" i="5"/>
  <c r="S2451" i="5"/>
  <c r="T2155" i="5"/>
  <c r="AB2155" i="5"/>
  <c r="T2007" i="5"/>
  <c r="AB2007" i="5"/>
  <c r="T1986" i="5"/>
  <c r="S1986" i="5"/>
  <c r="G2452" i="5"/>
  <c r="J2452" i="5"/>
  <c r="R2452" i="5"/>
  <c r="E2418" i="5"/>
  <c r="X2418" i="5" s="1"/>
  <c r="G2418" i="5"/>
  <c r="E2129" i="5"/>
  <c r="X2129" i="5" s="1"/>
  <c r="F2129" i="5"/>
  <c r="E1694" i="5"/>
  <c r="X1694" i="5" s="1"/>
  <c r="G1694" i="5"/>
  <c r="G1455" i="5"/>
  <c r="E1455" i="5"/>
  <c r="X1455" i="5" s="1"/>
  <c r="J1455" i="5"/>
  <c r="I1242" i="5"/>
  <c r="R1242" i="5"/>
  <c r="G1183" i="5"/>
  <c r="E1183" i="5"/>
  <c r="X1183" i="5" s="1"/>
  <c r="S2146" i="5"/>
  <c r="AB2146" i="5"/>
  <c r="T2076" i="5"/>
  <c r="S2076" i="5"/>
  <c r="T2067" i="5"/>
  <c r="S2067" i="5"/>
  <c r="T2362" i="5"/>
  <c r="S2362" i="5"/>
  <c r="T2035" i="5"/>
  <c r="S2035" i="5"/>
  <c r="V2399" i="5"/>
  <c r="G2399" i="5" s="1"/>
  <c r="V2219" i="5"/>
  <c r="G2219" i="5" s="1"/>
  <c r="AB2183" i="5"/>
  <c r="V2183" i="5"/>
  <c r="AB2027" i="5"/>
  <c r="V2027" i="5"/>
  <c r="H2027" i="5" s="1"/>
  <c r="V1967" i="5"/>
  <c r="G1967" i="5" s="1"/>
  <c r="V1931" i="5"/>
  <c r="G1931" i="5" s="1"/>
  <c r="V1751" i="5"/>
  <c r="G1751" i="5" s="1"/>
  <c r="G1739" i="5"/>
  <c r="AB1583" i="5"/>
  <c r="V1583" i="5"/>
  <c r="H1583" i="5" s="1"/>
  <c r="G1571" i="5"/>
  <c r="V1283" i="5"/>
  <c r="V1259" i="5"/>
  <c r="G1259" i="5" s="1"/>
  <c r="AB1247" i="5"/>
  <c r="V1247" i="5"/>
  <c r="V1223" i="5"/>
  <c r="G1223" i="5" s="1"/>
  <c r="T1263" i="5"/>
  <c r="S1263" i="5"/>
  <c r="H2382" i="5"/>
  <c r="E2382" i="5"/>
  <c r="X2382" i="5" s="1"/>
  <c r="R2382" i="5"/>
  <c r="V1721" i="5"/>
  <c r="E1683" i="5"/>
  <c r="X1683" i="5" s="1"/>
  <c r="G1683" i="5"/>
  <c r="G1590" i="5"/>
  <c r="E1590" i="5"/>
  <c r="X1590" i="5" s="1"/>
  <c r="T1204" i="5"/>
  <c r="AB1204" i="5"/>
  <c r="AB2405" i="5"/>
  <c r="V2405" i="5"/>
  <c r="G2369" i="5"/>
  <c r="V2345" i="5"/>
  <c r="G2345" i="5" s="1"/>
  <c r="V2273" i="5"/>
  <c r="E2273" i="5" s="1"/>
  <c r="X2273" i="5" s="1"/>
  <c r="AB2273" i="5"/>
  <c r="G2237" i="5"/>
  <c r="V2141" i="5"/>
  <c r="E2141" i="5" s="1"/>
  <c r="X2141" i="5" s="1"/>
  <c r="AB2141" i="5"/>
  <c r="V1973" i="5"/>
  <c r="G1973" i="5"/>
  <c r="G1949" i="5"/>
  <c r="G1841" i="5"/>
  <c r="V1757" i="5"/>
  <c r="G1757" i="5" s="1"/>
  <c r="V1637" i="5"/>
  <c r="AB1637" i="5"/>
  <c r="V1601" i="5"/>
  <c r="G1601" i="5" s="1"/>
  <c r="V1541" i="5"/>
  <c r="G1541" i="5" s="1"/>
  <c r="G1481" i="5"/>
  <c r="V1433" i="5"/>
  <c r="G1409" i="5"/>
  <c r="G1361" i="5"/>
  <c r="G1313" i="5"/>
  <c r="V1241" i="5"/>
  <c r="G1241" i="5"/>
  <c r="V1217" i="5"/>
  <c r="G1217" i="5" s="1"/>
  <c r="E1205" i="5"/>
  <c r="X1205" i="5" s="1"/>
  <c r="R1205" i="5"/>
  <c r="I1205" i="5"/>
  <c r="F1205" i="5"/>
  <c r="V1169" i="5"/>
  <c r="E1169" i="5" s="1"/>
  <c r="X1169" i="5" s="1"/>
  <c r="AB1169" i="5"/>
  <c r="T2329" i="5"/>
  <c r="S2329" i="5"/>
  <c r="T1743" i="5"/>
  <c r="AB1743" i="5"/>
  <c r="T1438" i="5"/>
  <c r="S1438" i="5"/>
  <c r="E2323" i="5"/>
  <c r="X2323" i="5" s="1"/>
  <c r="E2239" i="5"/>
  <c r="X2239" i="5" s="1"/>
  <c r="G2239" i="5"/>
  <c r="E2212" i="5"/>
  <c r="X2212" i="5" s="1"/>
  <c r="E2174" i="5"/>
  <c r="X2174" i="5" s="1"/>
  <c r="G2174" i="5"/>
  <c r="E2162" i="5"/>
  <c r="X2162" i="5" s="1"/>
  <c r="G2162" i="5"/>
  <c r="V1877" i="5"/>
  <c r="G1877" i="5" s="1"/>
  <c r="G1783" i="5"/>
  <c r="E1783" i="5"/>
  <c r="X1783" i="5" s="1"/>
  <c r="G1568" i="5"/>
  <c r="E1568" i="5"/>
  <c r="X1568" i="5" s="1"/>
  <c r="E1554" i="5"/>
  <c r="X1554" i="5" s="1"/>
  <c r="G1554" i="5"/>
  <c r="H1490" i="5"/>
  <c r="G1490" i="5"/>
  <c r="T1814" i="5"/>
  <c r="S1814" i="5"/>
  <c r="T1763" i="5"/>
  <c r="S1763" i="5"/>
  <c r="T1644" i="5"/>
  <c r="S1644" i="5"/>
  <c r="F2282" i="5"/>
  <c r="G2282" i="5"/>
  <c r="G2225" i="5"/>
  <c r="E2225" i="5"/>
  <c r="X2225" i="5" s="1"/>
  <c r="F2019" i="5"/>
  <c r="G2019" i="5"/>
  <c r="E1902" i="5"/>
  <c r="X1902" i="5" s="1"/>
  <c r="G1902" i="5"/>
  <c r="E1831" i="5"/>
  <c r="X1831" i="5" s="1"/>
  <c r="G1831" i="5"/>
  <c r="E1638" i="5"/>
  <c r="X1638" i="5" s="1"/>
  <c r="G1638" i="5"/>
  <c r="T2415" i="5"/>
  <c r="S2415" i="5"/>
  <c r="G2380" i="5"/>
  <c r="E2380" i="5"/>
  <c r="X2380" i="5" s="1"/>
  <c r="G1724" i="5"/>
  <c r="E1724" i="5"/>
  <c r="X1724" i="5" s="1"/>
  <c r="G1578" i="5"/>
  <c r="E1578" i="5"/>
  <c r="X1578" i="5" s="1"/>
  <c r="E1555" i="5"/>
  <c r="X1555" i="5" s="1"/>
  <c r="G1555" i="5"/>
  <c r="T2379" i="5"/>
  <c r="G1338" i="5"/>
  <c r="E1338" i="5"/>
  <c r="X1338" i="5" s="1"/>
  <c r="G1864" i="5"/>
  <c r="E1864" i="5"/>
  <c r="X1864" i="5" s="1"/>
  <c r="AB2060" i="5"/>
  <c r="AB1868" i="5"/>
  <c r="AB1724" i="5"/>
  <c r="AB1652" i="5"/>
  <c r="AB1956" i="5"/>
  <c r="AB1677" i="5"/>
  <c r="AB1992" i="5"/>
  <c r="AB1920" i="5"/>
  <c r="V1920" i="5"/>
  <c r="E1920" i="5" s="1"/>
  <c r="X1920" i="5" s="1"/>
  <c r="AB2073" i="5"/>
  <c r="AB1831" i="5"/>
  <c r="AB1167" i="5"/>
  <c r="S1167" i="5"/>
  <c r="R1956" i="5"/>
  <c r="E2280" i="5"/>
  <c r="X2280" i="5" s="1"/>
  <c r="H2280" i="5"/>
  <c r="J2280" i="5"/>
  <c r="F2280" i="5"/>
  <c r="R2280" i="5"/>
  <c r="E1516" i="5"/>
  <c r="X1516" i="5" s="1"/>
  <c r="G1516" i="5"/>
  <c r="I1516" i="5"/>
  <c r="H1516" i="5"/>
  <c r="E1501" i="5"/>
  <c r="X1501" i="5" s="1"/>
  <c r="R1501" i="5"/>
  <c r="J1501" i="5"/>
  <c r="H1501" i="5"/>
  <c r="E1458" i="5"/>
  <c r="X1458" i="5" s="1"/>
  <c r="G1458" i="5"/>
  <c r="J1458" i="5"/>
  <c r="H1458" i="5"/>
  <c r="I1458" i="5"/>
  <c r="R1458" i="5"/>
  <c r="F1458" i="5"/>
  <c r="G1446" i="5"/>
  <c r="H1446" i="5"/>
  <c r="I1446" i="5"/>
  <c r="J1446" i="5"/>
  <c r="F1446" i="5"/>
  <c r="E1386" i="5"/>
  <c r="X1386" i="5" s="1"/>
  <c r="G1386" i="5"/>
  <c r="F1386" i="5"/>
  <c r="R1386" i="5"/>
  <c r="R1476" i="5"/>
  <c r="E2454" i="5"/>
  <c r="X2454" i="5" s="1"/>
  <c r="I2454" i="5"/>
  <c r="H1326" i="5"/>
  <c r="I1326" i="5"/>
  <c r="R2216" i="5"/>
  <c r="H1864" i="5"/>
  <c r="F2088" i="5"/>
  <c r="E1978" i="5"/>
  <c r="X1978" i="5" s="1"/>
  <c r="R1978" i="5"/>
  <c r="I1978" i="5"/>
  <c r="H1978" i="5"/>
  <c r="F1978" i="5"/>
  <c r="E1660" i="5"/>
  <c r="X1660" i="5" s="1"/>
  <c r="G1660" i="5"/>
  <c r="J1660" i="5"/>
  <c r="R1660" i="5"/>
  <c r="F1583" i="5"/>
  <c r="R1583" i="5"/>
  <c r="E1515" i="5"/>
  <c r="X1515" i="5" s="1"/>
  <c r="F1515" i="5"/>
  <c r="G1515" i="5"/>
  <c r="R1515" i="5"/>
  <c r="I1515" i="5"/>
  <c r="H1515" i="5"/>
  <c r="J1515" i="5"/>
  <c r="G1485" i="5"/>
  <c r="E1485" i="5"/>
  <c r="X1485" i="5" s="1"/>
  <c r="F1485" i="5"/>
  <c r="R1485" i="5"/>
  <c r="G1268" i="5"/>
  <c r="E1268" i="5"/>
  <c r="X1268" i="5" s="1"/>
  <c r="H1268" i="5"/>
  <c r="I1268" i="5"/>
  <c r="R1268" i="5"/>
  <c r="J1268" i="5"/>
  <c r="F1268" i="5"/>
  <c r="H2088" i="5"/>
  <c r="J2454" i="5"/>
  <c r="G2278" i="5"/>
  <c r="J2278" i="5"/>
  <c r="E1697" i="5"/>
  <c r="X1697" i="5" s="1"/>
  <c r="J1697" i="5"/>
  <c r="G1697" i="5"/>
  <c r="R1697" i="5"/>
  <c r="H1633" i="5"/>
  <c r="E1633" i="5"/>
  <c r="X1633" i="5" s="1"/>
  <c r="E1598" i="5"/>
  <c r="X1598" i="5" s="1"/>
  <c r="G1598" i="5"/>
  <c r="F1598" i="5"/>
  <c r="R1598" i="5"/>
  <c r="E1582" i="5"/>
  <c r="X1582" i="5" s="1"/>
  <c r="F1582" i="5"/>
  <c r="R1582" i="5"/>
  <c r="G1582" i="5"/>
  <c r="I1582" i="5"/>
  <c r="I1569" i="5"/>
  <c r="R1560" i="5"/>
  <c r="J1560" i="5"/>
  <c r="I1560" i="5"/>
  <c r="E2120" i="5"/>
  <c r="X2120" i="5" s="1"/>
  <c r="J2120" i="5"/>
  <c r="E2078" i="5"/>
  <c r="X2078" i="5" s="1"/>
  <c r="F2078" i="5"/>
  <c r="J2078" i="5"/>
  <c r="G2078" i="5"/>
  <c r="H2078" i="5"/>
  <c r="T2499" i="5"/>
  <c r="S2499" i="5"/>
  <c r="T2469" i="5"/>
  <c r="S2469" i="5"/>
  <c r="AB2469" i="5"/>
  <c r="T2387" i="5"/>
  <c r="AB2387" i="5"/>
  <c r="S2387" i="5"/>
  <c r="G2140" i="5"/>
  <c r="R2140" i="5"/>
  <c r="J2140" i="5"/>
  <c r="G2392" i="5"/>
  <c r="J2392" i="5"/>
  <c r="E2229" i="5"/>
  <c r="X2229" i="5" s="1"/>
  <c r="I2229" i="5"/>
  <c r="J2229" i="5"/>
  <c r="G2229" i="5"/>
  <c r="H2229" i="5"/>
  <c r="F2229" i="5"/>
  <c r="E2109" i="5"/>
  <c r="X2109" i="5" s="1"/>
  <c r="G2109" i="5"/>
  <c r="R2109" i="5"/>
  <c r="F2109" i="5"/>
  <c r="G1794" i="5"/>
  <c r="I1794" i="5"/>
  <c r="F1794" i="5"/>
  <c r="R1794" i="5"/>
  <c r="J1794" i="5"/>
  <c r="F1377" i="5"/>
  <c r="E1364" i="5"/>
  <c r="X1364" i="5" s="1"/>
  <c r="F1364" i="5"/>
  <c r="I1364" i="5"/>
  <c r="J1364" i="5"/>
  <c r="H1364" i="5"/>
  <c r="R1364" i="5"/>
  <c r="E1256" i="5"/>
  <c r="X1256" i="5" s="1"/>
  <c r="F1256" i="5"/>
  <c r="R1256" i="5"/>
  <c r="I1256" i="5"/>
  <c r="H1256" i="5"/>
  <c r="J1256" i="5"/>
  <c r="E1175" i="5"/>
  <c r="X1175" i="5" s="1"/>
  <c r="R1175" i="5"/>
  <c r="I1175" i="5"/>
  <c r="F1175" i="5"/>
  <c r="E1161" i="5"/>
  <c r="X1161" i="5" s="1"/>
  <c r="H1161" i="5"/>
  <c r="R1161" i="5"/>
  <c r="J1161" i="5"/>
  <c r="G1161" i="5"/>
  <c r="I1161" i="5"/>
  <c r="F1161" i="5"/>
  <c r="H2400" i="5"/>
  <c r="F2400" i="5"/>
  <c r="E2400" i="5"/>
  <c r="X2400" i="5" s="1"/>
  <c r="F2376" i="5"/>
  <c r="I2376" i="5"/>
  <c r="H2376" i="5"/>
  <c r="E2376" i="5"/>
  <c r="X2376" i="5" s="1"/>
  <c r="R2376" i="5"/>
  <c r="J2376" i="5"/>
  <c r="H1956" i="5"/>
  <c r="E1956" i="5"/>
  <c r="X1956" i="5" s="1"/>
  <c r="G1956" i="5"/>
  <c r="I1956" i="5"/>
  <c r="J1956" i="5"/>
  <c r="R1824" i="5"/>
  <c r="I1824" i="5"/>
  <c r="H1824" i="5"/>
  <c r="E1824" i="5"/>
  <c r="X1824" i="5" s="1"/>
  <c r="G1824" i="5"/>
  <c r="F1824" i="5"/>
  <c r="E1608" i="5"/>
  <c r="X1608" i="5" s="1"/>
  <c r="J1608" i="5"/>
  <c r="I1608" i="5"/>
  <c r="H1608" i="5"/>
  <c r="F1608" i="5"/>
  <c r="E1512" i="5"/>
  <c r="X1512" i="5" s="1"/>
  <c r="I1512" i="5"/>
  <c r="H1512" i="5"/>
  <c r="F1512" i="5"/>
  <c r="R1512" i="5"/>
  <c r="J1512" i="5"/>
  <c r="E1476" i="5"/>
  <c r="X1476" i="5" s="1"/>
  <c r="J1476" i="5"/>
  <c r="G1476" i="5"/>
  <c r="I1476" i="5"/>
  <c r="F1476" i="5"/>
  <c r="E1389" i="5"/>
  <c r="X1389" i="5" s="1"/>
  <c r="F1389" i="5"/>
  <c r="I1389" i="5"/>
  <c r="G1389" i="5"/>
  <c r="H1389" i="5"/>
  <c r="R1389" i="5"/>
  <c r="J1389" i="5"/>
  <c r="G2228" i="5"/>
  <c r="H2228" i="5"/>
  <c r="F2228" i="5"/>
  <c r="R2228" i="5"/>
  <c r="J2228" i="5"/>
  <c r="I2228" i="5"/>
  <c r="E1916" i="5"/>
  <c r="X1916" i="5" s="1"/>
  <c r="R1916" i="5"/>
  <c r="I1916" i="5"/>
  <c r="F1916" i="5"/>
  <c r="G1916" i="5"/>
  <c r="H1916" i="5"/>
  <c r="J1916" i="5"/>
  <c r="E1853" i="5"/>
  <c r="X1853" i="5" s="1"/>
  <c r="G1853" i="5"/>
  <c r="E1388" i="5"/>
  <c r="X1388" i="5" s="1"/>
  <c r="G1388" i="5"/>
  <c r="J1388" i="5"/>
  <c r="H1388" i="5"/>
  <c r="F1388" i="5"/>
  <c r="E1351" i="5"/>
  <c r="X1351" i="5" s="1"/>
  <c r="G1351" i="5"/>
  <c r="I1351" i="5"/>
  <c r="H1351" i="5"/>
  <c r="R1351" i="5"/>
  <c r="J1351" i="5"/>
  <c r="F1351" i="5"/>
  <c r="E1326" i="5"/>
  <c r="X1326" i="5" s="1"/>
  <c r="G1326" i="5"/>
  <c r="F1326" i="5"/>
  <c r="J1824" i="5"/>
  <c r="E1875" i="5"/>
  <c r="X1875" i="5" s="1"/>
  <c r="G1875" i="5"/>
  <c r="R1875" i="5"/>
  <c r="I1875" i="5"/>
  <c r="H1875" i="5"/>
  <c r="J1875" i="5"/>
  <c r="F1875" i="5"/>
  <c r="I1388" i="5"/>
  <c r="I2216" i="5"/>
  <c r="R2120" i="5"/>
  <c r="J1864" i="5"/>
  <c r="H2140" i="5"/>
  <c r="R1326" i="5"/>
  <c r="H2120" i="5"/>
  <c r="R1864" i="5"/>
  <c r="I2140" i="5"/>
  <c r="I2088" i="5"/>
  <c r="G2400" i="5"/>
  <c r="R2009" i="5"/>
  <c r="E2009" i="5"/>
  <c r="X2009" i="5" s="1"/>
  <c r="J2009" i="5"/>
  <c r="H2009" i="5"/>
  <c r="F2009" i="5"/>
  <c r="G2009" i="5"/>
  <c r="E1710" i="5"/>
  <c r="X1710" i="5" s="1"/>
  <c r="G1710" i="5"/>
  <c r="F1710" i="5"/>
  <c r="R1710" i="5"/>
  <c r="I1710" i="5"/>
  <c r="J1710" i="5"/>
  <c r="E2096" i="5"/>
  <c r="X2096" i="5" s="1"/>
  <c r="H2096" i="5"/>
  <c r="F2096" i="5"/>
  <c r="R2096" i="5"/>
  <c r="J2096" i="5"/>
  <c r="I2096" i="5"/>
  <c r="E1769" i="5"/>
  <c r="X1769" i="5" s="1"/>
  <c r="J1769" i="5"/>
  <c r="I1769" i="5"/>
  <c r="F1769" i="5"/>
  <c r="G1769" i="5"/>
  <c r="R1769" i="5"/>
  <c r="H1769" i="5"/>
  <c r="E1243" i="5"/>
  <c r="X1243" i="5" s="1"/>
  <c r="G1243" i="5"/>
  <c r="H1243" i="5"/>
  <c r="R1243" i="5"/>
  <c r="I1243" i="5"/>
  <c r="J1243" i="5"/>
  <c r="E1165" i="5"/>
  <c r="X1165" i="5" s="1"/>
  <c r="J1165" i="5"/>
  <c r="H1165" i="5"/>
  <c r="I1165" i="5"/>
  <c r="S1161" i="5"/>
  <c r="AB1161" i="5"/>
  <c r="R1165" i="5"/>
  <c r="R1608" i="5"/>
  <c r="J1175" i="5"/>
  <c r="J1853" i="5"/>
  <c r="I2120" i="5"/>
  <c r="F1864" i="5"/>
  <c r="J2088" i="5"/>
  <c r="I2078" i="5"/>
  <c r="F2392" i="5"/>
  <c r="G2008" i="5"/>
  <c r="H2008" i="5"/>
  <c r="E2008" i="5"/>
  <c r="X2008" i="5" s="1"/>
  <c r="J2008" i="5"/>
  <c r="I2008" i="5"/>
  <c r="F2008" i="5"/>
  <c r="G1747" i="5"/>
  <c r="F1747" i="5"/>
  <c r="E1747" i="5"/>
  <c r="X1747" i="5" s="1"/>
  <c r="R1747" i="5"/>
  <c r="J1747" i="5"/>
  <c r="E1178" i="5"/>
  <c r="X1178" i="5" s="1"/>
  <c r="J1178" i="5"/>
  <c r="R1178" i="5"/>
  <c r="H1178" i="5"/>
  <c r="I1178" i="5"/>
  <c r="G1178" i="5"/>
  <c r="E1793" i="5"/>
  <c r="X1793" i="5" s="1"/>
  <c r="F1793" i="5"/>
  <c r="R1793" i="5"/>
  <c r="G1793" i="5"/>
  <c r="J1793" i="5"/>
  <c r="I1793" i="5"/>
  <c r="H1793" i="5"/>
  <c r="J1160" i="5"/>
  <c r="I1160" i="5"/>
  <c r="R1160" i="5"/>
  <c r="H1160" i="5"/>
  <c r="F1160" i="5"/>
  <c r="E1160" i="5"/>
  <c r="X1160" i="5" s="1"/>
  <c r="E2216" i="5"/>
  <c r="X2216" i="5" s="1"/>
  <c r="H2216" i="5"/>
  <c r="G2216" i="5"/>
  <c r="I1864" i="5"/>
  <c r="H1175" i="5"/>
  <c r="R1853" i="5"/>
  <c r="R2078" i="5"/>
  <c r="H2454" i="5"/>
  <c r="F1178" i="5"/>
  <c r="R2229" i="5"/>
  <c r="E2348" i="5"/>
  <c r="X2348" i="5" s="1"/>
  <c r="I2348" i="5"/>
  <c r="G2348" i="5"/>
  <c r="J2348" i="5"/>
  <c r="I2338" i="5"/>
  <c r="R2338" i="5"/>
  <c r="J2338" i="5"/>
  <c r="E2114" i="5"/>
  <c r="X2114" i="5" s="1"/>
  <c r="I2114" i="5"/>
  <c r="R2114" i="5"/>
  <c r="R2040" i="5"/>
  <c r="F2040" i="5"/>
  <c r="G2040" i="5"/>
  <c r="I2040" i="5"/>
  <c r="J2040" i="5"/>
  <c r="E1708" i="5"/>
  <c r="X1708" i="5" s="1"/>
  <c r="G1708" i="5"/>
  <c r="F1708" i="5"/>
  <c r="R1708" i="5"/>
  <c r="H1708" i="5"/>
  <c r="E2483" i="5"/>
  <c r="X2483" i="5" s="1"/>
  <c r="I2483" i="5"/>
  <c r="R2483" i="5"/>
  <c r="H2483" i="5"/>
  <c r="H2390" i="5"/>
  <c r="R2390" i="5"/>
  <c r="J2390" i="5"/>
  <c r="F2390" i="5"/>
  <c r="E2390" i="5"/>
  <c r="X2390" i="5" s="1"/>
  <c r="E2208" i="5"/>
  <c r="X2208" i="5" s="1"/>
  <c r="R2208" i="5"/>
  <c r="I2208" i="5"/>
  <c r="G2176" i="5"/>
  <c r="H2176" i="5"/>
  <c r="F2176" i="5"/>
  <c r="E2015" i="5"/>
  <c r="X2015" i="5" s="1"/>
  <c r="R2015" i="5"/>
  <c r="J2015" i="5"/>
  <c r="I2015" i="5"/>
  <c r="E1883" i="5"/>
  <c r="X1883" i="5" s="1"/>
  <c r="R1883" i="5"/>
  <c r="I1883" i="5"/>
  <c r="J1883" i="5"/>
  <c r="F1883" i="5"/>
  <c r="J1838" i="5"/>
  <c r="E1838" i="5"/>
  <c r="X1838" i="5" s="1"/>
  <c r="G1838" i="5"/>
  <c r="R1838" i="5"/>
  <c r="E1803" i="5"/>
  <c r="X1803" i="5" s="1"/>
  <c r="G1803" i="5"/>
  <c r="H1803" i="5"/>
  <c r="G1670" i="5"/>
  <c r="E1670" i="5"/>
  <c r="X1670" i="5" s="1"/>
  <c r="E1594" i="5"/>
  <c r="X1594" i="5" s="1"/>
  <c r="R1594" i="5"/>
  <c r="J1594" i="5"/>
  <c r="E1558" i="5"/>
  <c r="X1558" i="5" s="1"/>
  <c r="G1558" i="5"/>
  <c r="F1558" i="5"/>
  <c r="E1535" i="5"/>
  <c r="X1535" i="5" s="1"/>
  <c r="H1535" i="5"/>
  <c r="J1535" i="5"/>
  <c r="G1514" i="5"/>
  <c r="I1514" i="5"/>
  <c r="R1514" i="5"/>
  <c r="H1514" i="5"/>
  <c r="E1514" i="5"/>
  <c r="X1514" i="5" s="1"/>
  <c r="J1514" i="5"/>
  <c r="E1444" i="5"/>
  <c r="X1444" i="5" s="1"/>
  <c r="G1444" i="5"/>
  <c r="E1374" i="5"/>
  <c r="X1374" i="5" s="1"/>
  <c r="I1374" i="5"/>
  <c r="H1374" i="5"/>
  <c r="G1374" i="5"/>
  <c r="F1212" i="5"/>
  <c r="J1212" i="5"/>
  <c r="I1212" i="5"/>
  <c r="R1212" i="5"/>
  <c r="E1212" i="5"/>
  <c r="X1212" i="5" s="1"/>
  <c r="E1201" i="5"/>
  <c r="X1201" i="5" s="1"/>
  <c r="J1201" i="5"/>
  <c r="H1201" i="5"/>
  <c r="R1201" i="5"/>
  <c r="I1201" i="5"/>
  <c r="F1201" i="5"/>
  <c r="AB1166" i="5"/>
  <c r="S1166" i="5"/>
  <c r="T1166" i="5"/>
  <c r="R2246" i="5"/>
  <c r="R2315" i="5"/>
  <c r="J1914" i="5"/>
  <c r="R1535" i="5"/>
  <c r="G2464" i="5"/>
  <c r="E2464" i="5"/>
  <c r="X2464" i="5" s="1"/>
  <c r="J2464" i="5"/>
  <c r="I2464" i="5"/>
  <c r="G2357" i="5"/>
  <c r="H2357" i="5"/>
  <c r="G2308" i="5"/>
  <c r="H2308" i="5"/>
  <c r="J2308" i="5"/>
  <c r="E2226" i="5"/>
  <c r="X2226" i="5" s="1"/>
  <c r="G2226" i="5"/>
  <c r="I2226" i="5"/>
  <c r="H2226" i="5"/>
  <c r="I2194" i="5"/>
  <c r="G2194" i="5"/>
  <c r="F2194" i="5"/>
  <c r="R2194" i="5"/>
  <c r="E2175" i="5"/>
  <c r="X2175" i="5" s="1"/>
  <c r="G2175" i="5"/>
  <c r="G1874" i="5"/>
  <c r="F1874" i="5"/>
  <c r="R1874" i="5"/>
  <c r="E1642" i="5"/>
  <c r="X1642" i="5" s="1"/>
  <c r="G1642" i="5"/>
  <c r="J1642" i="5"/>
  <c r="I1632" i="5"/>
  <c r="H1632" i="5"/>
  <c r="E1278" i="5"/>
  <c r="X1278" i="5" s="1"/>
  <c r="G1278" i="5"/>
  <c r="E1253" i="5"/>
  <c r="X1253" i="5" s="1"/>
  <c r="G1253" i="5"/>
  <c r="J1253" i="5"/>
  <c r="I1253" i="5"/>
  <c r="R1253" i="5"/>
  <c r="E1221" i="5"/>
  <c r="X1221" i="5" s="1"/>
  <c r="R1221" i="5"/>
  <c r="J1221" i="5"/>
  <c r="I1221" i="5"/>
  <c r="T1335" i="5"/>
  <c r="AB1335" i="5"/>
  <c r="T1223" i="5"/>
  <c r="S1223" i="5"/>
  <c r="AB1223" i="5"/>
  <c r="T1187" i="5"/>
  <c r="AB1187" i="5"/>
  <c r="S1187" i="5"/>
  <c r="H2015" i="5"/>
  <c r="F1535" i="5"/>
  <c r="H2463" i="5"/>
  <c r="I2463" i="5"/>
  <c r="G2463" i="5"/>
  <c r="E2463" i="5"/>
  <c r="X2463" i="5" s="1"/>
  <c r="E2366" i="5"/>
  <c r="X2366" i="5" s="1"/>
  <c r="G2366" i="5"/>
  <c r="J2366" i="5"/>
  <c r="R2366" i="5"/>
  <c r="I2307" i="5"/>
  <c r="H2307" i="5"/>
  <c r="G2307" i="5"/>
  <c r="E2307" i="5"/>
  <c r="X2307" i="5" s="1"/>
  <c r="R1891" i="5"/>
  <c r="G1891" i="5"/>
  <c r="H1891" i="5"/>
  <c r="J1891" i="5"/>
  <c r="I1891" i="5"/>
  <c r="H1845" i="5"/>
  <c r="F1845" i="5"/>
  <c r="H1790" i="5"/>
  <c r="E1790" i="5"/>
  <c r="X1790" i="5" s="1"/>
  <c r="R1790" i="5"/>
  <c r="E1774" i="5"/>
  <c r="X1774" i="5" s="1"/>
  <c r="I1774" i="5"/>
  <c r="J1774" i="5"/>
  <c r="G1567" i="5"/>
  <c r="E1567" i="5"/>
  <c r="X1567" i="5" s="1"/>
  <c r="H1567" i="5"/>
  <c r="F1567" i="5"/>
  <c r="E1533" i="5"/>
  <c r="X1533" i="5" s="1"/>
  <c r="F1482" i="5"/>
  <c r="J1482" i="5"/>
  <c r="E1482" i="5"/>
  <c r="X1482" i="5" s="1"/>
  <c r="H1482" i="5"/>
  <c r="E1305" i="5"/>
  <c r="X1305" i="5" s="1"/>
  <c r="G1305" i="5"/>
  <c r="I1305" i="5"/>
  <c r="J1305" i="5"/>
  <c r="R1305" i="5"/>
  <c r="T2004" i="5"/>
  <c r="AB2004" i="5"/>
  <c r="T1984" i="5"/>
  <c r="AB1984" i="5"/>
  <c r="T1928" i="5"/>
  <c r="AB1928" i="5"/>
  <c r="T1918" i="5"/>
  <c r="AB1918" i="5"/>
  <c r="T1861" i="5"/>
  <c r="AB1861" i="5"/>
  <c r="S1861" i="5"/>
  <c r="T1806" i="5"/>
  <c r="S1806" i="5"/>
  <c r="T1364" i="5"/>
  <c r="S1364" i="5"/>
  <c r="R1670" i="5"/>
  <c r="F1914" i="5"/>
  <c r="F2015" i="5"/>
  <c r="H1883" i="5"/>
  <c r="E2462" i="5"/>
  <c r="X2462" i="5" s="1"/>
  <c r="F2462" i="5"/>
  <c r="R2462" i="5"/>
  <c r="J2462" i="5"/>
  <c r="E1869" i="5"/>
  <c r="X1869" i="5" s="1"/>
  <c r="G1869" i="5"/>
  <c r="E1591" i="5"/>
  <c r="X1591" i="5" s="1"/>
  <c r="G1591" i="5"/>
  <c r="T1993" i="5"/>
  <c r="S1993" i="5"/>
  <c r="T1975" i="5"/>
  <c r="AB1975" i="5"/>
  <c r="S1975" i="5"/>
  <c r="T1964" i="5"/>
  <c r="AB1964" i="5"/>
  <c r="AB1947" i="5"/>
  <c r="S1947" i="5"/>
  <c r="T1878" i="5"/>
  <c r="AB1878" i="5"/>
  <c r="S1878" i="5"/>
  <c r="S1825" i="5"/>
  <c r="AB1825" i="5"/>
  <c r="T1238" i="5"/>
  <c r="S1238" i="5"/>
  <c r="S1179" i="5"/>
  <c r="T1179" i="5"/>
  <c r="AB1179" i="5"/>
  <c r="H2246" i="5"/>
  <c r="I2390" i="5"/>
  <c r="F1514" i="5"/>
  <c r="G2390" i="5"/>
  <c r="G2378" i="5"/>
  <c r="E2378" i="5"/>
  <c r="X2378" i="5" s="1"/>
  <c r="F2378" i="5"/>
  <c r="R2378" i="5"/>
  <c r="E2274" i="5"/>
  <c r="X2274" i="5" s="1"/>
  <c r="G2274" i="5"/>
  <c r="I2274" i="5"/>
  <c r="H2274" i="5"/>
  <c r="F2274" i="5"/>
  <c r="E2182" i="5"/>
  <c r="X2182" i="5" s="1"/>
  <c r="H2182" i="5"/>
  <c r="F2182" i="5"/>
  <c r="R2182" i="5"/>
  <c r="J2182" i="5"/>
  <c r="G2182" i="5"/>
  <c r="F1964" i="5"/>
  <c r="J1964" i="5"/>
  <c r="I1964" i="5"/>
  <c r="H1964" i="5"/>
  <c r="R1964" i="5"/>
  <c r="H1943" i="5"/>
  <c r="J1943" i="5"/>
  <c r="E1943" i="5"/>
  <c r="X1943" i="5" s="1"/>
  <c r="I1943" i="5"/>
  <c r="G1880" i="5"/>
  <c r="E1880" i="5"/>
  <c r="X1880" i="5" s="1"/>
  <c r="E1798" i="5"/>
  <c r="X1798" i="5" s="1"/>
  <c r="F1798" i="5"/>
  <c r="I1798" i="5"/>
  <c r="G1798" i="5"/>
  <c r="E1753" i="5"/>
  <c r="X1753" i="5" s="1"/>
  <c r="H1753" i="5"/>
  <c r="F1753" i="5"/>
  <c r="J1753" i="5"/>
  <c r="R1753" i="5"/>
  <c r="I1753" i="5"/>
  <c r="E1605" i="5"/>
  <c r="X1605" i="5" s="1"/>
  <c r="G1605" i="5"/>
  <c r="J1605" i="5"/>
  <c r="H1543" i="5"/>
  <c r="F1543" i="5"/>
  <c r="G1359" i="5"/>
  <c r="E1359" i="5"/>
  <c r="X1359" i="5" s="1"/>
  <c r="E1322" i="5"/>
  <c r="X1322" i="5" s="1"/>
  <c r="G1322" i="5"/>
  <c r="H1318" i="5"/>
  <c r="R1444" i="5"/>
  <c r="F1643" i="5"/>
  <c r="H1869" i="5"/>
  <c r="R2435" i="5"/>
  <c r="H1558" i="5"/>
  <c r="F1670" i="5"/>
  <c r="H2022" i="5"/>
  <c r="I1194" i="5"/>
  <c r="J1322" i="5"/>
  <c r="H1594" i="5"/>
  <c r="F1880" i="5"/>
  <c r="H2378" i="5"/>
  <c r="H1914" i="5"/>
  <c r="H2462" i="5"/>
  <c r="S1964" i="5"/>
  <c r="I1790" i="5"/>
  <c r="F1891" i="5"/>
  <c r="AB1364" i="5"/>
  <c r="R1248" i="5"/>
  <c r="G1482" i="5"/>
  <c r="E2460" i="5"/>
  <c r="X2460" i="5" s="1"/>
  <c r="H2460" i="5"/>
  <c r="F2460" i="5"/>
  <c r="G2460" i="5"/>
  <c r="J2460" i="5"/>
  <c r="R2460" i="5"/>
  <c r="E2384" i="5"/>
  <c r="X2384" i="5" s="1"/>
  <c r="G2384" i="5"/>
  <c r="I2364" i="5"/>
  <c r="F2364" i="5"/>
  <c r="H2364" i="5"/>
  <c r="J2364" i="5"/>
  <c r="E2364" i="5"/>
  <c r="X2364" i="5" s="1"/>
  <c r="G2295" i="5"/>
  <c r="R2295" i="5"/>
  <c r="J2295" i="5"/>
  <c r="I2295" i="5"/>
  <c r="J2052" i="5"/>
  <c r="H2052" i="5"/>
  <c r="E2033" i="5"/>
  <c r="X2033" i="5" s="1"/>
  <c r="F2033" i="5"/>
  <c r="J2033" i="5"/>
  <c r="I2033" i="5"/>
  <c r="E2000" i="5"/>
  <c r="X2000" i="5" s="1"/>
  <c r="H2000" i="5"/>
  <c r="F2000" i="5"/>
  <c r="G2000" i="5"/>
  <c r="I2000" i="5"/>
  <c r="E1992" i="5"/>
  <c r="X1992" i="5" s="1"/>
  <c r="I1992" i="5"/>
  <c r="H1992" i="5"/>
  <c r="R1992" i="5"/>
  <c r="J1752" i="5"/>
  <c r="R1752" i="5"/>
  <c r="E1752" i="5"/>
  <c r="X1752" i="5" s="1"/>
  <c r="H1752" i="5"/>
  <c r="E1739" i="5"/>
  <c r="X1739" i="5" s="1"/>
  <c r="R1739" i="5"/>
  <c r="J1739" i="5"/>
  <c r="E1652" i="5"/>
  <c r="X1652" i="5" s="1"/>
  <c r="I1652" i="5"/>
  <c r="G1652" i="5"/>
  <c r="F1652" i="5"/>
  <c r="R1652" i="5"/>
  <c r="E1494" i="5"/>
  <c r="X1494" i="5" s="1"/>
  <c r="G1494" i="5"/>
  <c r="R1494" i="5"/>
  <c r="E1397" i="5"/>
  <c r="X1397" i="5" s="1"/>
  <c r="G1397" i="5"/>
  <c r="I1397" i="5"/>
  <c r="R1397" i="5"/>
  <c r="J1397" i="5"/>
  <c r="F1397" i="5"/>
  <c r="E1232" i="5"/>
  <c r="X1232" i="5" s="1"/>
  <c r="G1232" i="5"/>
  <c r="J1232" i="5"/>
  <c r="I1232" i="5"/>
  <c r="R1232" i="5"/>
  <c r="E1168" i="5"/>
  <c r="X1168" i="5" s="1"/>
  <c r="G1168" i="5"/>
  <c r="I1168" i="5"/>
  <c r="J1168" i="5"/>
  <c r="R1168" i="5"/>
  <c r="H1168" i="5"/>
  <c r="T2074" i="5"/>
  <c r="S2074" i="5"/>
  <c r="T2040" i="5"/>
  <c r="S2040" i="5"/>
  <c r="AB2040" i="5"/>
  <c r="T2029" i="5"/>
  <c r="AB2029" i="5"/>
  <c r="T1955" i="5"/>
  <c r="S1955" i="5"/>
  <c r="AB1955" i="5"/>
  <c r="T1719" i="5"/>
  <c r="S1719" i="5"/>
  <c r="AB1719" i="5"/>
  <c r="I2462" i="5"/>
  <c r="F1838" i="5"/>
  <c r="G2415" i="5"/>
  <c r="E2415" i="5"/>
  <c r="X2415" i="5" s="1"/>
  <c r="H2314" i="5"/>
  <c r="J2314" i="5"/>
  <c r="R2314" i="5"/>
  <c r="I2314" i="5"/>
  <c r="F2314" i="5"/>
  <c r="J2303" i="5"/>
  <c r="E2303" i="5"/>
  <c r="X2303" i="5" s="1"/>
  <c r="I2303" i="5"/>
  <c r="R2303" i="5"/>
  <c r="H2303" i="5"/>
  <c r="G2283" i="5"/>
  <c r="E2283" i="5"/>
  <c r="X2283" i="5" s="1"/>
  <c r="G2272" i="5"/>
  <c r="E2272" i="5"/>
  <c r="X2272" i="5" s="1"/>
  <c r="R2252" i="5"/>
  <c r="H2252" i="5"/>
  <c r="J2252" i="5"/>
  <c r="E2252" i="5"/>
  <c r="X2252" i="5" s="1"/>
  <c r="F2252" i="5"/>
  <c r="G2252" i="5"/>
  <c r="E2060" i="5"/>
  <c r="X2060" i="5" s="1"/>
  <c r="G2060" i="5"/>
  <c r="R2060" i="5"/>
  <c r="E2050" i="5"/>
  <c r="X2050" i="5" s="1"/>
  <c r="G2050" i="5"/>
  <c r="I2050" i="5"/>
  <c r="H2050" i="5"/>
  <c r="F2022" i="5"/>
  <c r="G2022" i="5"/>
  <c r="H1717" i="5"/>
  <c r="J1717" i="5"/>
  <c r="R1717" i="5"/>
  <c r="E1717" i="5"/>
  <c r="X1717" i="5" s="1"/>
  <c r="F1717" i="5"/>
  <c r="E1651" i="5"/>
  <c r="X1651" i="5" s="1"/>
  <c r="I1651" i="5"/>
  <c r="H1651" i="5"/>
  <c r="G1615" i="5"/>
  <c r="E1615" i="5"/>
  <c r="X1615" i="5" s="1"/>
  <c r="E1288" i="5"/>
  <c r="X1288" i="5" s="1"/>
  <c r="G1288" i="5"/>
  <c r="H1288" i="5"/>
  <c r="I1288" i="5"/>
  <c r="J1288" i="5"/>
  <c r="R1288" i="5"/>
  <c r="F1288" i="5"/>
  <c r="F1248" i="5"/>
  <c r="J1248" i="5"/>
  <c r="H1248" i="5"/>
  <c r="E1207" i="5"/>
  <c r="X1207" i="5" s="1"/>
  <c r="G1207" i="5"/>
  <c r="R1207" i="5"/>
  <c r="J1207" i="5"/>
  <c r="E1182" i="5"/>
  <c r="X1182" i="5" s="1"/>
  <c r="I1182" i="5"/>
  <c r="G1182" i="5"/>
  <c r="J1182" i="5"/>
  <c r="R1182" i="5"/>
  <c r="H1182" i="5"/>
  <c r="S2127" i="5"/>
  <c r="T2127" i="5"/>
  <c r="AB2127" i="5"/>
  <c r="J1444" i="5"/>
  <c r="I1643" i="5"/>
  <c r="J1558" i="5"/>
  <c r="I1670" i="5"/>
  <c r="R1374" i="5"/>
  <c r="F1594" i="5"/>
  <c r="J2176" i="5"/>
  <c r="H2366" i="5"/>
  <c r="S2004" i="5"/>
  <c r="S1956" i="5"/>
  <c r="I2182" i="5"/>
  <c r="F1790" i="5"/>
  <c r="R1605" i="5"/>
  <c r="R1482" i="5"/>
  <c r="E2478" i="5"/>
  <c r="X2478" i="5" s="1"/>
  <c r="G2478" i="5"/>
  <c r="G2457" i="5"/>
  <c r="E2457" i="5"/>
  <c r="X2457" i="5" s="1"/>
  <c r="F2457" i="5"/>
  <c r="G2414" i="5"/>
  <c r="E2414" i="5"/>
  <c r="X2414" i="5" s="1"/>
  <c r="E2322" i="5"/>
  <c r="X2322" i="5" s="1"/>
  <c r="I2190" i="5"/>
  <c r="R2190" i="5"/>
  <c r="E2190" i="5"/>
  <c r="X2190" i="5" s="1"/>
  <c r="H2190" i="5"/>
  <c r="F2190" i="5"/>
  <c r="E1928" i="5"/>
  <c r="X1928" i="5" s="1"/>
  <c r="G1928" i="5"/>
  <c r="H1928" i="5"/>
  <c r="J1928" i="5"/>
  <c r="I1920" i="5"/>
  <c r="J1920" i="5"/>
  <c r="E1688" i="5"/>
  <c r="X1688" i="5" s="1"/>
  <c r="F1688" i="5"/>
  <c r="I1688" i="5"/>
  <c r="E1492" i="5"/>
  <c r="X1492" i="5" s="1"/>
  <c r="G1492" i="5"/>
  <c r="R1492" i="5"/>
  <c r="I1492" i="5"/>
  <c r="H1492" i="5"/>
  <c r="F1492" i="5"/>
  <c r="J1492" i="5"/>
  <c r="H1366" i="5"/>
  <c r="E1356" i="5"/>
  <c r="X1356" i="5" s="1"/>
  <c r="R1356" i="5"/>
  <c r="H1356" i="5"/>
  <c r="J1356" i="5"/>
  <c r="F1356" i="5"/>
  <c r="E1345" i="5"/>
  <c r="X1345" i="5" s="1"/>
  <c r="I1345" i="5"/>
  <c r="E1329" i="5"/>
  <c r="X1329" i="5" s="1"/>
  <c r="G1329" i="5"/>
  <c r="E1247" i="5"/>
  <c r="X1247" i="5" s="1"/>
  <c r="F1247" i="5"/>
  <c r="R1247" i="5"/>
  <c r="H1838" i="5"/>
  <c r="H1798" i="5"/>
  <c r="I1482" i="5"/>
  <c r="I1543" i="5"/>
  <c r="G2489" i="5"/>
  <c r="E2489" i="5"/>
  <c r="X2489" i="5" s="1"/>
  <c r="I2489" i="5"/>
  <c r="I2433" i="5"/>
  <c r="F2433" i="5"/>
  <c r="E2433" i="5"/>
  <c r="X2433" i="5" s="1"/>
  <c r="R2433" i="5"/>
  <c r="J2433" i="5"/>
  <c r="H2433" i="5"/>
  <c r="G2394" i="5"/>
  <c r="E2394" i="5"/>
  <c r="X2394" i="5" s="1"/>
  <c r="H2394" i="5"/>
  <c r="F2394" i="5"/>
  <c r="F2201" i="5"/>
  <c r="G2201" i="5"/>
  <c r="J2201" i="5"/>
  <c r="H2201" i="5"/>
  <c r="E2189" i="5"/>
  <c r="X2189" i="5" s="1"/>
  <c r="G2189" i="5"/>
  <c r="R2189" i="5"/>
  <c r="R1990" i="5"/>
  <c r="J1990" i="5"/>
  <c r="H1898" i="5"/>
  <c r="G1898" i="5"/>
  <c r="R1898" i="5"/>
  <c r="F1898" i="5"/>
  <c r="E1898" i="5"/>
  <c r="X1898" i="5" s="1"/>
  <c r="G1759" i="5"/>
  <c r="E1759" i="5"/>
  <c r="X1759" i="5" s="1"/>
  <c r="F1759" i="5"/>
  <c r="R1759" i="5"/>
  <c r="E1736" i="5"/>
  <c r="X1736" i="5" s="1"/>
  <c r="G1736" i="5"/>
  <c r="E1687" i="5"/>
  <c r="X1687" i="5" s="1"/>
  <c r="G1687" i="5"/>
  <c r="R1687" i="5"/>
  <c r="E1674" i="5"/>
  <c r="X1674" i="5" s="1"/>
  <c r="G1674" i="5"/>
  <c r="F1674" i="5"/>
  <c r="R1674" i="5"/>
  <c r="G1662" i="5"/>
  <c r="R1662" i="5"/>
  <c r="E1355" i="5"/>
  <c r="X1355" i="5" s="1"/>
  <c r="F1355" i="5"/>
  <c r="I1355" i="5"/>
  <c r="H1355" i="5"/>
  <c r="R1355" i="5"/>
  <c r="J1355" i="5"/>
  <c r="AB2402" i="5"/>
  <c r="T2402" i="5"/>
  <c r="T2349" i="5"/>
  <c r="S2349" i="5"/>
  <c r="E2247" i="5"/>
  <c r="X2247" i="5" s="1"/>
  <c r="G2247" i="5"/>
  <c r="G2141" i="5"/>
  <c r="R2141" i="5"/>
  <c r="E1991" i="5"/>
  <c r="X1991" i="5" s="1"/>
  <c r="F1991" i="5"/>
  <c r="R1991" i="5"/>
  <c r="J1991" i="5"/>
  <c r="I1991" i="5"/>
  <c r="G1854" i="5"/>
  <c r="E1854" i="5"/>
  <c r="X1854" i="5" s="1"/>
  <c r="H1525" i="5"/>
  <c r="F1525" i="5"/>
  <c r="E1525" i="5"/>
  <c r="X1525" i="5" s="1"/>
  <c r="R1525" i="5"/>
  <c r="E1457" i="5"/>
  <c r="X1457" i="5" s="1"/>
  <c r="G1457" i="5"/>
  <c r="E1300" i="5"/>
  <c r="X1300" i="5" s="1"/>
  <c r="G1300" i="5"/>
  <c r="R1300" i="5"/>
  <c r="J1300" i="5"/>
  <c r="I1300" i="5"/>
  <c r="H1300" i="5"/>
  <c r="F1300" i="5"/>
  <c r="R1257" i="5"/>
  <c r="F1257" i="5"/>
  <c r="T1232" i="5"/>
  <c r="S1232" i="5"/>
  <c r="T1224" i="5"/>
  <c r="AB1224" i="5"/>
  <c r="T1217" i="5"/>
  <c r="AB1217" i="5"/>
  <c r="S1217" i="5"/>
  <c r="T1188" i="5"/>
  <c r="S1188" i="5"/>
  <c r="AB1188" i="5"/>
  <c r="T1181" i="5"/>
  <c r="AB1181" i="5"/>
  <c r="S1181" i="5"/>
  <c r="V2497" i="5"/>
  <c r="G2497" i="5" s="1"/>
  <c r="V2485" i="5"/>
  <c r="G2485" i="5" s="1"/>
  <c r="V2461" i="5"/>
  <c r="AB2461" i="5"/>
  <c r="V2449" i="5"/>
  <c r="G2449" i="5" s="1"/>
  <c r="AB2449" i="5"/>
  <c r="V2437" i="5"/>
  <c r="G2437" i="5" s="1"/>
  <c r="V2425" i="5"/>
  <c r="AB2425" i="5"/>
  <c r="V2413" i="5"/>
  <c r="AB2413" i="5"/>
  <c r="V2401" i="5"/>
  <c r="G2401" i="5" s="1"/>
  <c r="AB2401" i="5"/>
  <c r="V2389" i="5"/>
  <c r="G2389" i="5" s="1"/>
  <c r="AB2389" i="5"/>
  <c r="V2365" i="5"/>
  <c r="G2365" i="5" s="1"/>
  <c r="AB2365" i="5"/>
  <c r="V2353" i="5"/>
  <c r="G2353" i="5" s="1"/>
  <c r="V2341" i="5"/>
  <c r="G2341" i="5" s="1"/>
  <c r="AB2341" i="5"/>
  <c r="V2329" i="5"/>
  <c r="G2329" i="5" s="1"/>
  <c r="AB2329" i="5"/>
  <c r="V2317" i="5"/>
  <c r="AB2317" i="5"/>
  <c r="V2305" i="5"/>
  <c r="G2305" i="5"/>
  <c r="V2293" i="5"/>
  <c r="AB2293" i="5"/>
  <c r="V2257" i="5"/>
  <c r="G2257" i="5" s="1"/>
  <c r="AB2257" i="5"/>
  <c r="V2245" i="5"/>
  <c r="G2245" i="5" s="1"/>
  <c r="AB2245" i="5"/>
  <c r="V2233" i="5"/>
  <c r="G2233" i="5" s="1"/>
  <c r="AB2233" i="5"/>
  <c r="V2221" i="5"/>
  <c r="G2221" i="5"/>
  <c r="V2209" i="5"/>
  <c r="G2209" i="5" s="1"/>
  <c r="V2197" i="5"/>
  <c r="G2197" i="5" s="1"/>
  <c r="AB2197" i="5"/>
  <c r="V2185" i="5"/>
  <c r="G2185" i="5" s="1"/>
  <c r="AB2185" i="5"/>
  <c r="V2173" i="5"/>
  <c r="G2173" i="5" s="1"/>
  <c r="AB2173" i="5"/>
  <c r="V2161" i="5"/>
  <c r="G2161" i="5" s="1"/>
  <c r="V2137" i="5"/>
  <c r="G2137" i="5" s="1"/>
  <c r="V2125" i="5"/>
  <c r="AB2125" i="5"/>
  <c r="R2113" i="5"/>
  <c r="J2113" i="5"/>
  <c r="H2113" i="5"/>
  <c r="V2101" i="5"/>
  <c r="G2101" i="5" s="1"/>
  <c r="AB2101" i="5"/>
  <c r="V2089" i="5"/>
  <c r="AB2089" i="5"/>
  <c r="G2089" i="5"/>
  <c r="V2077" i="5"/>
  <c r="AB2077" i="5"/>
  <c r="V2065" i="5"/>
  <c r="AB2065" i="5"/>
  <c r="V2053" i="5"/>
  <c r="V2041" i="5"/>
  <c r="G2041" i="5" s="1"/>
  <c r="AB2041" i="5"/>
  <c r="V2029" i="5"/>
  <c r="G2029" i="5" s="1"/>
  <c r="V2017" i="5"/>
  <c r="G2017" i="5" s="1"/>
  <c r="E2005" i="5"/>
  <c r="X2005" i="5" s="1"/>
  <c r="F2005" i="5"/>
  <c r="V1993" i="5"/>
  <c r="G1993" i="5" s="1"/>
  <c r="V1981" i="5"/>
  <c r="G1981" i="5"/>
  <c r="J1969" i="5"/>
  <c r="E1969" i="5"/>
  <c r="X1969" i="5" s="1"/>
  <c r="H1969" i="5"/>
  <c r="J1957" i="5"/>
  <c r="R1957" i="5"/>
  <c r="I1957" i="5"/>
  <c r="F1957" i="5"/>
  <c r="E1957" i="5"/>
  <c r="X1957" i="5" s="1"/>
  <c r="V1945" i="5"/>
  <c r="G1945" i="5" s="1"/>
  <c r="J1933" i="5"/>
  <c r="V1921" i="5"/>
  <c r="AB1921" i="5"/>
  <c r="V1909" i="5"/>
  <c r="G1909" i="5" s="1"/>
  <c r="V1897" i="5"/>
  <c r="G1897" i="5" s="1"/>
  <c r="V1885" i="5"/>
  <c r="AB1873" i="5"/>
  <c r="G1873" i="5"/>
  <c r="V1861" i="5"/>
  <c r="G1837" i="5"/>
  <c r="V1801" i="5"/>
  <c r="V1789" i="5"/>
  <c r="G1789" i="5" s="1"/>
  <c r="V1777" i="5"/>
  <c r="G1777" i="5" s="1"/>
  <c r="AB1777" i="5"/>
  <c r="V1765" i="5"/>
  <c r="G1765" i="5" s="1"/>
  <c r="AB1765" i="5"/>
  <c r="V1741" i="5"/>
  <c r="G1741" i="5" s="1"/>
  <c r="AB1741" i="5"/>
  <c r="V1729" i="5"/>
  <c r="G1729" i="5" s="1"/>
  <c r="G1717" i="5"/>
  <c r="AB1717" i="5"/>
  <c r="V1705" i="5"/>
  <c r="AB1705" i="5"/>
  <c r="AB1693" i="5"/>
  <c r="V1693" i="5"/>
  <c r="V1681" i="5"/>
  <c r="G1681" i="5" s="1"/>
  <c r="AB1681" i="5"/>
  <c r="V1669" i="5"/>
  <c r="AB1657" i="5"/>
  <c r="V1657" i="5"/>
  <c r="V1621" i="5"/>
  <c r="G1621" i="5" s="1"/>
  <c r="V1609" i="5"/>
  <c r="AB1609" i="5"/>
  <c r="E1597" i="5"/>
  <c r="X1597" i="5" s="1"/>
  <c r="I1597" i="5"/>
  <c r="H1597" i="5"/>
  <c r="R1597" i="5"/>
  <c r="J1597" i="5"/>
  <c r="V1573" i="5"/>
  <c r="AB1573" i="5"/>
  <c r="G1561" i="5"/>
  <c r="V1537" i="5"/>
  <c r="V1513" i="5"/>
  <c r="AB1513" i="5"/>
  <c r="G1501" i="5"/>
  <c r="V1489" i="5"/>
  <c r="AB1489" i="5"/>
  <c r="AB1453" i="5"/>
  <c r="V1453" i="5"/>
  <c r="G1453" i="5" s="1"/>
  <c r="V1441" i="5"/>
  <c r="G1441" i="5" s="1"/>
  <c r="AB1429" i="5"/>
  <c r="V1429" i="5"/>
  <c r="V1417" i="5"/>
  <c r="G1417" i="5" s="1"/>
  <c r="AB1417" i="5"/>
  <c r="AB1405" i="5"/>
  <c r="V1405" i="5"/>
  <c r="V1393" i="5"/>
  <c r="AB1393" i="5"/>
  <c r="AB1381" i="5"/>
  <c r="V1381" i="5"/>
  <c r="V1369" i="5"/>
  <c r="G1369" i="5" s="1"/>
  <c r="G1357" i="5"/>
  <c r="G1345" i="5"/>
  <c r="E1333" i="5"/>
  <c r="X1333" i="5" s="1"/>
  <c r="I1333" i="5"/>
  <c r="R1333" i="5"/>
  <c r="H1333" i="5"/>
  <c r="J1333" i="5"/>
  <c r="V1321" i="5"/>
  <c r="AB1309" i="5"/>
  <c r="V1309" i="5"/>
  <c r="G1309" i="5" s="1"/>
  <c r="V1297" i="5"/>
  <c r="G1297" i="5"/>
  <c r="AB1297" i="5"/>
  <c r="V1273" i="5"/>
  <c r="AB1261" i="5"/>
  <c r="V1261" i="5"/>
  <c r="G1261" i="5" s="1"/>
  <c r="AB1249" i="5"/>
  <c r="V1249" i="5"/>
  <c r="V1237" i="5"/>
  <c r="G1237" i="5" s="1"/>
  <c r="AB1237" i="5"/>
  <c r="V1225" i="5"/>
  <c r="G1225" i="5" s="1"/>
  <c r="AB1225" i="5"/>
  <c r="V1213" i="5"/>
  <c r="AB1213" i="5"/>
  <c r="G1201" i="5"/>
  <c r="G1189" i="5"/>
  <c r="AB1177" i="5"/>
  <c r="V1177" i="5"/>
  <c r="G1165" i="5"/>
  <c r="AB1165" i="5"/>
  <c r="T2409" i="5"/>
  <c r="S2409" i="5"/>
  <c r="AB2134" i="5"/>
  <c r="T2134" i="5"/>
  <c r="T1718" i="5"/>
  <c r="S1718" i="5"/>
  <c r="T1539" i="5"/>
  <c r="S1539" i="5"/>
  <c r="T1487" i="5"/>
  <c r="S1487" i="5"/>
  <c r="T1466" i="5"/>
  <c r="S1466" i="5"/>
  <c r="AB1466" i="5"/>
  <c r="T1385" i="5"/>
  <c r="AB1385" i="5"/>
  <c r="S1385" i="5"/>
  <c r="T1259" i="5"/>
  <c r="S1259" i="5"/>
  <c r="T1200" i="5"/>
  <c r="S1200" i="5"/>
  <c r="T1193" i="5"/>
  <c r="AB1193" i="5"/>
  <c r="S1193" i="5"/>
  <c r="G2498" i="5"/>
  <c r="R2498" i="5"/>
  <c r="F2498" i="5"/>
  <c r="E2349" i="5"/>
  <c r="X2349" i="5" s="1"/>
  <c r="R2349" i="5"/>
  <c r="J2349" i="5"/>
  <c r="I2349" i="5"/>
  <c r="F2340" i="5"/>
  <c r="R2340" i="5"/>
  <c r="F2146" i="5"/>
  <c r="J2146" i="5"/>
  <c r="E2085" i="5"/>
  <c r="X2085" i="5" s="1"/>
  <c r="J2085" i="5"/>
  <c r="F2085" i="5"/>
  <c r="R2027" i="5"/>
  <c r="F2027" i="5"/>
  <c r="E1917" i="5"/>
  <c r="X1917" i="5" s="1"/>
  <c r="J1917" i="5"/>
  <c r="H1917" i="5"/>
  <c r="G1917" i="5"/>
  <c r="R1917" i="5"/>
  <c r="F1917" i="5"/>
  <c r="E1890" i="5"/>
  <c r="X1890" i="5" s="1"/>
  <c r="G1890" i="5"/>
  <c r="I1881" i="5"/>
  <c r="F1881" i="5"/>
  <c r="R1881" i="5"/>
  <c r="H1881" i="5"/>
  <c r="J1881" i="5"/>
  <c r="I1873" i="5"/>
  <c r="J1873" i="5"/>
  <c r="E1873" i="5"/>
  <c r="X1873" i="5" s="1"/>
  <c r="E1826" i="5"/>
  <c r="X1826" i="5" s="1"/>
  <c r="G1826" i="5"/>
  <c r="E1804" i="5"/>
  <c r="X1804" i="5" s="1"/>
  <c r="G1804" i="5"/>
  <c r="E1709" i="5"/>
  <c r="X1709" i="5" s="1"/>
  <c r="G1709" i="5"/>
  <c r="F1709" i="5"/>
  <c r="J1709" i="5"/>
  <c r="E1673" i="5"/>
  <c r="X1673" i="5" s="1"/>
  <c r="I1673" i="5"/>
  <c r="G1673" i="5"/>
  <c r="E1661" i="5"/>
  <c r="X1661" i="5" s="1"/>
  <c r="I1661" i="5"/>
  <c r="G1661" i="5"/>
  <c r="R1506" i="5"/>
  <c r="H1506" i="5"/>
  <c r="E1493" i="5"/>
  <c r="X1493" i="5" s="1"/>
  <c r="G1493" i="5"/>
  <c r="R1493" i="5"/>
  <c r="J1493" i="5"/>
  <c r="F1493" i="5"/>
  <c r="F1454" i="5"/>
  <c r="G1454" i="5"/>
  <c r="R1454" i="5"/>
  <c r="H1454" i="5"/>
  <c r="I1293" i="5"/>
  <c r="H1293" i="5"/>
  <c r="J1293" i="5"/>
  <c r="E1279" i="5"/>
  <c r="X1279" i="5" s="1"/>
  <c r="G1279" i="5"/>
  <c r="H1189" i="5"/>
  <c r="R1189" i="5"/>
  <c r="J1189" i="5"/>
  <c r="F1189" i="5"/>
  <c r="AB2484" i="5"/>
  <c r="AB2472" i="5"/>
  <c r="V2472" i="5"/>
  <c r="G2472" i="5" s="1"/>
  <c r="V2448" i="5"/>
  <c r="AB2448" i="5"/>
  <c r="V2436" i="5"/>
  <c r="G2436" i="5" s="1"/>
  <c r="AB2436" i="5"/>
  <c r="AB2388" i="5"/>
  <c r="V2388" i="5"/>
  <c r="G2376" i="5"/>
  <c r="AB2376" i="5"/>
  <c r="G2364" i="5"/>
  <c r="AB2364" i="5"/>
  <c r="V2352" i="5"/>
  <c r="G2340" i="5"/>
  <c r="V2328" i="5"/>
  <c r="AB2328" i="5"/>
  <c r="AB2316" i="5"/>
  <c r="V2316" i="5"/>
  <c r="V2292" i="5"/>
  <c r="G2292" i="5" s="1"/>
  <c r="G2280" i="5"/>
  <c r="I2268" i="5"/>
  <c r="E2268" i="5"/>
  <c r="X2268" i="5" s="1"/>
  <c r="E2256" i="5"/>
  <c r="X2256" i="5" s="1"/>
  <c r="H2256" i="5"/>
  <c r="R2256" i="5"/>
  <c r="F2256" i="5"/>
  <c r="J2256" i="5"/>
  <c r="AB2244" i="5"/>
  <c r="V2244" i="5"/>
  <c r="G2244" i="5" s="1"/>
  <c r="V2232" i="5"/>
  <c r="G2232" i="5" s="1"/>
  <c r="J2220" i="5"/>
  <c r="R2220" i="5"/>
  <c r="I2220" i="5"/>
  <c r="H2220" i="5"/>
  <c r="AB2208" i="5"/>
  <c r="G2208" i="5"/>
  <c r="V2184" i="5"/>
  <c r="V2172" i="5"/>
  <c r="G2172" i="5" s="1"/>
  <c r="AB2160" i="5"/>
  <c r="V2160" i="5"/>
  <c r="G2160" i="5" s="1"/>
  <c r="V2148" i="5"/>
  <c r="G2148" i="5" s="1"/>
  <c r="V2136" i="5"/>
  <c r="AB2136" i="5"/>
  <c r="AB2112" i="5"/>
  <c r="V2112" i="5"/>
  <c r="G2112" i="5" s="1"/>
  <c r="AB2088" i="5"/>
  <c r="G2088" i="5"/>
  <c r="AB2076" i="5"/>
  <c r="G2076" i="5"/>
  <c r="G2052" i="5"/>
  <c r="AB2052" i="5"/>
  <c r="V2028" i="5"/>
  <c r="G2028" i="5" s="1"/>
  <c r="V2016" i="5"/>
  <c r="G2016" i="5" s="1"/>
  <c r="AB2016" i="5"/>
  <c r="V2004" i="5"/>
  <c r="G2004" i="5" s="1"/>
  <c r="V1980" i="5"/>
  <c r="G1980" i="5" s="1"/>
  <c r="V1968" i="5"/>
  <c r="G1968" i="5" s="1"/>
  <c r="AB1968" i="5"/>
  <c r="V1944" i="5"/>
  <c r="V1932" i="5"/>
  <c r="G1932" i="5" s="1"/>
  <c r="AB1932" i="5"/>
  <c r="V1896" i="5"/>
  <c r="AB1896" i="5"/>
  <c r="V1884" i="5"/>
  <c r="G1884" i="5" s="1"/>
  <c r="AB1884" i="5"/>
  <c r="V1872" i="5"/>
  <c r="G1872" i="5" s="1"/>
  <c r="AB1872" i="5"/>
  <c r="V1860" i="5"/>
  <c r="G1860" i="5" s="1"/>
  <c r="AB1860" i="5"/>
  <c r="V1848" i="5"/>
  <c r="G1848" i="5" s="1"/>
  <c r="V1836" i="5"/>
  <c r="G1836" i="5" s="1"/>
  <c r="AB1836" i="5"/>
  <c r="V1812" i="5"/>
  <c r="G1812" i="5" s="1"/>
  <c r="AB1812" i="5"/>
  <c r="V1800" i="5"/>
  <c r="G1800" i="5" s="1"/>
  <c r="V1788" i="5"/>
  <c r="G1788" i="5" s="1"/>
  <c r="V1764" i="5"/>
  <c r="G1764" i="5" s="1"/>
  <c r="AB1752" i="5"/>
  <c r="G1752" i="5"/>
  <c r="AB1740" i="5"/>
  <c r="V1740" i="5"/>
  <c r="V1728" i="5"/>
  <c r="G1728" i="5" s="1"/>
  <c r="AB1716" i="5"/>
  <c r="V1716" i="5"/>
  <c r="G1716" i="5" s="1"/>
  <c r="V1704" i="5"/>
  <c r="G1704" i="5" s="1"/>
  <c r="AB1704" i="5"/>
  <c r="V1692" i="5"/>
  <c r="G1692" i="5" s="1"/>
  <c r="AB1692" i="5"/>
  <c r="V1680" i="5"/>
  <c r="G1680" i="5"/>
  <c r="AB1680" i="5"/>
  <c r="V1668" i="5"/>
  <c r="G1668" i="5" s="1"/>
  <c r="AB1656" i="5"/>
  <c r="V1656" i="5"/>
  <c r="V1644" i="5"/>
  <c r="G1644" i="5" s="1"/>
  <c r="AB1644" i="5"/>
  <c r="G1632" i="5"/>
  <c r="AB1632" i="5"/>
  <c r="V1620" i="5"/>
  <c r="G1620" i="5" s="1"/>
  <c r="AB1620" i="5"/>
  <c r="G1608" i="5"/>
  <c r="V1596" i="5"/>
  <c r="AB1596" i="5"/>
  <c r="V1584" i="5"/>
  <c r="G1584" i="5" s="1"/>
  <c r="V1572" i="5"/>
  <c r="G1572" i="5" s="1"/>
  <c r="G1560" i="5"/>
  <c r="G1548" i="5"/>
  <c r="V1524" i="5"/>
  <c r="G1512" i="5"/>
  <c r="AB1512" i="5"/>
  <c r="V1500" i="5"/>
  <c r="V1488" i="5"/>
  <c r="G1488" i="5"/>
  <c r="AB1488" i="5"/>
  <c r="F1464" i="5"/>
  <c r="E1464" i="5"/>
  <c r="X1464" i="5" s="1"/>
  <c r="V1452" i="5"/>
  <c r="G1452" i="5" s="1"/>
  <c r="AB1452" i="5"/>
  <c r="V1440" i="5"/>
  <c r="V1416" i="5"/>
  <c r="AB1416" i="5"/>
  <c r="V1404" i="5"/>
  <c r="AB1404" i="5"/>
  <c r="V1392" i="5"/>
  <c r="G1392" i="5" s="1"/>
  <c r="V1380" i="5"/>
  <c r="G1380" i="5" s="1"/>
  <c r="AB1380" i="5"/>
  <c r="G1368" i="5"/>
  <c r="G1356" i="5"/>
  <c r="AB1356" i="5"/>
  <c r="V1344" i="5"/>
  <c r="G1344" i="5" s="1"/>
  <c r="AB1344" i="5"/>
  <c r="G1320" i="5"/>
  <c r="E1308" i="5"/>
  <c r="X1308" i="5" s="1"/>
  <c r="H1308" i="5"/>
  <c r="V1296" i="5"/>
  <c r="G1296" i="5" s="1"/>
  <c r="AB1296" i="5"/>
  <c r="V1284" i="5"/>
  <c r="AB1272" i="5"/>
  <c r="V1272" i="5"/>
  <c r="AB1260" i="5"/>
  <c r="V1260" i="5"/>
  <c r="G1248" i="5"/>
  <c r="E1236" i="5"/>
  <c r="X1236" i="5" s="1"/>
  <c r="R1236" i="5"/>
  <c r="F1236" i="5"/>
  <c r="V1224" i="5"/>
  <c r="G1224" i="5" s="1"/>
  <c r="G1212" i="5"/>
  <c r="AB1212" i="5"/>
  <c r="E1200" i="5"/>
  <c r="X1200" i="5" s="1"/>
  <c r="J1200" i="5"/>
  <c r="I1200" i="5"/>
  <c r="R1200" i="5"/>
  <c r="H1200" i="5"/>
  <c r="V1188" i="5"/>
  <c r="V1176" i="5"/>
  <c r="AB1176" i="5"/>
  <c r="V1164" i="5"/>
  <c r="T2198" i="5"/>
  <c r="S2198" i="5"/>
  <c r="AB2198" i="5"/>
  <c r="S1728" i="5"/>
  <c r="AB1728" i="5"/>
  <c r="T1728" i="5"/>
  <c r="T1553" i="5"/>
  <c r="AB1553" i="5"/>
  <c r="S1553" i="5"/>
  <c r="T1538" i="5"/>
  <c r="AB1538" i="5"/>
  <c r="S1524" i="5"/>
  <c r="AB1524" i="5"/>
  <c r="T1428" i="5"/>
  <c r="S1428" i="5"/>
  <c r="T1421" i="5"/>
  <c r="S1421" i="5"/>
  <c r="AB1421" i="5"/>
  <c r="T1407" i="5"/>
  <c r="AB1407" i="5"/>
  <c r="T1392" i="5"/>
  <c r="AB1392" i="5"/>
  <c r="S1392" i="5"/>
  <c r="E2495" i="5"/>
  <c r="G2483" i="5"/>
  <c r="AB2483" i="5"/>
  <c r="V2471" i="5"/>
  <c r="V2459" i="5"/>
  <c r="G2459" i="5" s="1"/>
  <c r="I2447" i="5"/>
  <c r="E2447" i="5"/>
  <c r="X2447" i="5" s="1"/>
  <c r="G2435" i="5"/>
  <c r="V2387" i="5"/>
  <c r="G2387" i="5" s="1"/>
  <c r="J2375" i="5"/>
  <c r="E2375" i="5"/>
  <c r="X2375" i="5" s="1"/>
  <c r="H2375" i="5"/>
  <c r="R2375" i="5"/>
  <c r="I2375" i="5"/>
  <c r="AB2363" i="5"/>
  <c r="V2363" i="5"/>
  <c r="V2351" i="5"/>
  <c r="V2339" i="5"/>
  <c r="AB2339" i="5"/>
  <c r="V2327" i="5"/>
  <c r="G2315" i="5"/>
  <c r="G2303" i="5"/>
  <c r="AB2279" i="5"/>
  <c r="V2279" i="5"/>
  <c r="E2255" i="5"/>
  <c r="X2255" i="5" s="1"/>
  <c r="F2255" i="5"/>
  <c r="R2255" i="5"/>
  <c r="V2243" i="5"/>
  <c r="G2243" i="5"/>
  <c r="V2231" i="5"/>
  <c r="G2231" i="5" s="1"/>
  <c r="R2207" i="5"/>
  <c r="E2207" i="5"/>
  <c r="X2207" i="5" s="1"/>
  <c r="I2207" i="5"/>
  <c r="V2195" i="5"/>
  <c r="G2195" i="5" s="1"/>
  <c r="V2171" i="5"/>
  <c r="G2171" i="5" s="1"/>
  <c r="V2159" i="5"/>
  <c r="G2159" i="5" s="1"/>
  <c r="AB2159" i="5"/>
  <c r="V2147" i="5"/>
  <c r="AB2135" i="5"/>
  <c r="V2135" i="5"/>
  <c r="V2123" i="5"/>
  <c r="G2123" i="5" s="1"/>
  <c r="V2099" i="5"/>
  <c r="AB2099" i="5"/>
  <c r="V2087" i="5"/>
  <c r="G2087" i="5" s="1"/>
  <c r="AB2087" i="5"/>
  <c r="V2075" i="5"/>
  <c r="G2075" i="5" s="1"/>
  <c r="V2051" i="5"/>
  <c r="G2051" i="5" s="1"/>
  <c r="AB2051" i="5"/>
  <c r="V2039" i="5"/>
  <c r="AB2039" i="5"/>
  <c r="G2015" i="5"/>
  <c r="AB2015" i="5"/>
  <c r="V2003" i="5"/>
  <c r="G2003" i="5" s="1"/>
  <c r="G1991" i="5"/>
  <c r="AB1991" i="5"/>
  <c r="V1979" i="5"/>
  <c r="G1979" i="5" s="1"/>
  <c r="E1967" i="5"/>
  <c r="X1967" i="5" s="1"/>
  <c r="F1967" i="5"/>
  <c r="G1943" i="5"/>
  <c r="AB1943" i="5"/>
  <c r="V1919" i="5"/>
  <c r="AB1919" i="5"/>
  <c r="AB1907" i="5"/>
  <c r="V1907" i="5"/>
  <c r="V1895" i="5"/>
  <c r="G1895" i="5" s="1"/>
  <c r="G1883" i="5"/>
  <c r="V1871" i="5"/>
  <c r="G1871" i="5" s="1"/>
  <c r="V1859" i="5"/>
  <c r="G1859" i="5" s="1"/>
  <c r="V1847" i="5"/>
  <c r="AB1847" i="5"/>
  <c r="G1835" i="5"/>
  <c r="AB1835" i="5"/>
  <c r="V1823" i="5"/>
  <c r="V1811" i="5"/>
  <c r="AB1811" i="5"/>
  <c r="G1799" i="5"/>
  <c r="V1787" i="5"/>
  <c r="G1787" i="5" s="1"/>
  <c r="AB1787" i="5"/>
  <c r="AB1775" i="5"/>
  <c r="V1775" i="5"/>
  <c r="G1775" i="5" s="1"/>
  <c r="V1763" i="5"/>
  <c r="G1763" i="5" s="1"/>
  <c r="E1751" i="5"/>
  <c r="X1751" i="5" s="1"/>
  <c r="F1751" i="5"/>
  <c r="G1727" i="5"/>
  <c r="V1715" i="5"/>
  <c r="G1715" i="5" s="1"/>
  <c r="V1703" i="5"/>
  <c r="G1703" i="5" s="1"/>
  <c r="AB1703" i="5"/>
  <c r="V1691" i="5"/>
  <c r="AB1691" i="5"/>
  <c r="V1667" i="5"/>
  <c r="G1667" i="5" s="1"/>
  <c r="V1655" i="5"/>
  <c r="G1655" i="5" s="1"/>
  <c r="G1643" i="5"/>
  <c r="AB1643" i="5"/>
  <c r="V1631" i="5"/>
  <c r="AB1631" i="5"/>
  <c r="V1619" i="5"/>
  <c r="AB1619" i="5"/>
  <c r="V1607" i="5"/>
  <c r="G1607" i="5" s="1"/>
  <c r="AB1607" i="5"/>
  <c r="V1595" i="5"/>
  <c r="G1595" i="5" s="1"/>
  <c r="V1559" i="5"/>
  <c r="AB1559" i="5"/>
  <c r="V1547" i="5"/>
  <c r="G1547" i="5" s="1"/>
  <c r="AB1547" i="5"/>
  <c r="G1535" i="5"/>
  <c r="AB1535" i="5"/>
  <c r="V1523" i="5"/>
  <c r="AB1523" i="5"/>
  <c r="V1511" i="5"/>
  <c r="V1499" i="5"/>
  <c r="AB1499" i="5"/>
  <c r="V1487" i="5"/>
  <c r="G1487" i="5" s="1"/>
  <c r="G1475" i="5"/>
  <c r="AB1463" i="5"/>
  <c r="V1463" i="5"/>
  <c r="V1451" i="5"/>
  <c r="G1451" i="5" s="1"/>
  <c r="AB1439" i="5"/>
  <c r="V1439" i="5"/>
  <c r="V1427" i="5"/>
  <c r="G1427" i="5" s="1"/>
  <c r="V1415" i="5"/>
  <c r="G1415" i="5" s="1"/>
  <c r="V1403" i="5"/>
  <c r="G1403" i="5" s="1"/>
  <c r="AB1403" i="5"/>
  <c r="V1391" i="5"/>
  <c r="G1391" i="5" s="1"/>
  <c r="AB1391" i="5"/>
  <c r="V1379" i="5"/>
  <c r="G1379" i="5" s="1"/>
  <c r="AB1379" i="5"/>
  <c r="AB1367" i="5"/>
  <c r="V1367" i="5"/>
  <c r="G1355" i="5"/>
  <c r="V1343" i="5"/>
  <c r="V1331" i="5"/>
  <c r="G1331" i="5" s="1"/>
  <c r="AB1331" i="5"/>
  <c r="V1319" i="5"/>
  <c r="V1307" i="5"/>
  <c r="AB1307" i="5"/>
  <c r="V1295" i="5"/>
  <c r="AB1295" i="5"/>
  <c r="V1271" i="5"/>
  <c r="G1271" i="5" s="1"/>
  <c r="V1199" i="5"/>
  <c r="G1199" i="5" s="1"/>
  <c r="AB1199" i="5"/>
  <c r="V1187" i="5"/>
  <c r="G1187" i="5" s="1"/>
  <c r="G1175" i="5"/>
  <c r="AB1175" i="5"/>
  <c r="E1163" i="5"/>
  <c r="X1163" i="5" s="1"/>
  <c r="R1163" i="5"/>
  <c r="H1163" i="5"/>
  <c r="J1163" i="5"/>
  <c r="AB1737" i="5"/>
  <c r="T1737" i="5"/>
  <c r="T1727" i="5"/>
  <c r="AB1727" i="5"/>
  <c r="H1661" i="5"/>
  <c r="E2434" i="5"/>
  <c r="X2434" i="5" s="1"/>
  <c r="G2434" i="5"/>
  <c r="E2271" i="5"/>
  <c r="X2271" i="5" s="1"/>
  <c r="R2271" i="5"/>
  <c r="I2271" i="5"/>
  <c r="H2271" i="5"/>
  <c r="E2170" i="5"/>
  <c r="X2170" i="5" s="1"/>
  <c r="G2170" i="5"/>
  <c r="R2170" i="5"/>
  <c r="J2170" i="5"/>
  <c r="I2170" i="5"/>
  <c r="H2170" i="5"/>
  <c r="G2106" i="5"/>
  <c r="E2106" i="5"/>
  <c r="X2106" i="5" s="1"/>
  <c r="J2025" i="5"/>
  <c r="E2025" i="5"/>
  <c r="X2025" i="5" s="1"/>
  <c r="R2025" i="5"/>
  <c r="I2025" i="5"/>
  <c r="H2025" i="5"/>
  <c r="F2025" i="5"/>
  <c r="G2014" i="5"/>
  <c r="E2014" i="5"/>
  <c r="X2014" i="5" s="1"/>
  <c r="E2006" i="5"/>
  <c r="X2006" i="5" s="1"/>
  <c r="G1926" i="5"/>
  <c r="E1926" i="5"/>
  <c r="X1926" i="5" s="1"/>
  <c r="V1908" i="5"/>
  <c r="E1888" i="5"/>
  <c r="X1888" i="5" s="1"/>
  <c r="E1844" i="5"/>
  <c r="X1844" i="5" s="1"/>
  <c r="F1844" i="5"/>
  <c r="R1844" i="5"/>
  <c r="E1802" i="5"/>
  <c r="X1802" i="5" s="1"/>
  <c r="G1802" i="5"/>
  <c r="H1802" i="5"/>
  <c r="E1707" i="5"/>
  <c r="X1707" i="5" s="1"/>
  <c r="E1684" i="5"/>
  <c r="X1684" i="5" s="1"/>
  <c r="G1684" i="5"/>
  <c r="E1504" i="5"/>
  <c r="X1504" i="5" s="1"/>
  <c r="G1504" i="5"/>
  <c r="I1504" i="5"/>
  <c r="J1504" i="5"/>
  <c r="H1504" i="5"/>
  <c r="E1466" i="5"/>
  <c r="X1466" i="5" s="1"/>
  <c r="R1466" i="5"/>
  <c r="E1435" i="5"/>
  <c r="X1435" i="5" s="1"/>
  <c r="E1332" i="5"/>
  <c r="X1332" i="5" s="1"/>
  <c r="H1332" i="5"/>
  <c r="E1320" i="5"/>
  <c r="X1320" i="5" s="1"/>
  <c r="E1304" i="5"/>
  <c r="X1304" i="5" s="1"/>
  <c r="E1277" i="5"/>
  <c r="X1277" i="5" s="1"/>
  <c r="G1277" i="5"/>
  <c r="F1277" i="5"/>
  <c r="I1277" i="5"/>
  <c r="H1277" i="5"/>
  <c r="E1220" i="5"/>
  <c r="X1220" i="5" s="1"/>
  <c r="R1220" i="5"/>
  <c r="J1220" i="5"/>
  <c r="I1220" i="5"/>
  <c r="H1220" i="5"/>
  <c r="F1220" i="5"/>
  <c r="T2211" i="5"/>
  <c r="T2189" i="5"/>
  <c r="S2189" i="5"/>
  <c r="AB2189" i="5"/>
  <c r="T2168" i="5"/>
  <c r="S2168" i="5"/>
  <c r="T2146" i="5"/>
  <c r="T1856" i="5"/>
  <c r="AB1856" i="5"/>
  <c r="S1856" i="5"/>
  <c r="T1838" i="5"/>
  <c r="S1838" i="5"/>
  <c r="T1782" i="5"/>
  <c r="S1782" i="5"/>
  <c r="T1745" i="5"/>
  <c r="S1745" i="5"/>
  <c r="I1917" i="5"/>
  <c r="V2496" i="5"/>
  <c r="V2484" i="5"/>
  <c r="G2484" i="5" s="1"/>
  <c r="V2423" i="5"/>
  <c r="G2358" i="5"/>
  <c r="E2358" i="5"/>
  <c r="X2358" i="5" s="1"/>
  <c r="R2358" i="5"/>
  <c r="I2358" i="5"/>
  <c r="F2358" i="5"/>
  <c r="I2202" i="5"/>
  <c r="G2202" i="5"/>
  <c r="J2202" i="5"/>
  <c r="E2105" i="5"/>
  <c r="X2105" i="5" s="1"/>
  <c r="G2105" i="5"/>
  <c r="I2105" i="5"/>
  <c r="R2105" i="5"/>
  <c r="J2105" i="5"/>
  <c r="H2105" i="5"/>
  <c r="F2105" i="5"/>
  <c r="V2064" i="5"/>
  <c r="G1937" i="5"/>
  <c r="F1937" i="5"/>
  <c r="H1937" i="5"/>
  <c r="E1937" i="5"/>
  <c r="X1937" i="5" s="1"/>
  <c r="J1937" i="5"/>
  <c r="E1834" i="5"/>
  <c r="X1834" i="5" s="1"/>
  <c r="G1834" i="5"/>
  <c r="E1623" i="5"/>
  <c r="X1623" i="5" s="1"/>
  <c r="G1623" i="5"/>
  <c r="G1586" i="5"/>
  <c r="E1586" i="5"/>
  <c r="X1586" i="5" s="1"/>
  <c r="E1503" i="5"/>
  <c r="X1503" i="5" s="1"/>
  <c r="I1503" i="5"/>
  <c r="G1503" i="5"/>
  <c r="F1503" i="5"/>
  <c r="R1503" i="5"/>
  <c r="H1503" i="5"/>
  <c r="J1503" i="5"/>
  <c r="E1475" i="5"/>
  <c r="X1475" i="5" s="1"/>
  <c r="R1475" i="5"/>
  <c r="I1475" i="5"/>
  <c r="E1357" i="5"/>
  <c r="X1357" i="5" s="1"/>
  <c r="I1357" i="5"/>
  <c r="J1357" i="5"/>
  <c r="R1357" i="5"/>
  <c r="E1330" i="5"/>
  <c r="X1330" i="5" s="1"/>
  <c r="G1330" i="5"/>
  <c r="G1290" i="5"/>
  <c r="E1290" i="5"/>
  <c r="X1290" i="5" s="1"/>
  <c r="E1276" i="5"/>
  <c r="X1276" i="5" s="1"/>
  <c r="G1276" i="5"/>
  <c r="I1276" i="5"/>
  <c r="R1276" i="5"/>
  <c r="H1276" i="5"/>
  <c r="T2361" i="5"/>
  <c r="S2361" i="5"/>
  <c r="T2253" i="5"/>
  <c r="S2253" i="5"/>
  <c r="AB2253" i="5"/>
  <c r="T2225" i="5"/>
  <c r="AB2225" i="5"/>
  <c r="T2153" i="5"/>
  <c r="S2153" i="5"/>
  <c r="T2063" i="5"/>
  <c r="S2063" i="5"/>
  <c r="T1970" i="5"/>
  <c r="AB1970" i="5"/>
  <c r="S1970" i="5"/>
  <c r="T1960" i="5"/>
  <c r="AB1960" i="5"/>
  <c r="T1883" i="5"/>
  <c r="S1883" i="5"/>
  <c r="AB1883" i="5"/>
  <c r="T1846" i="5"/>
  <c r="AB1846" i="5"/>
  <c r="T1754" i="5"/>
  <c r="S1754" i="5"/>
  <c r="T1744" i="5"/>
  <c r="S1744" i="5"/>
  <c r="AB1744" i="5"/>
  <c r="G1310" i="5"/>
  <c r="E2442" i="5"/>
  <c r="X2442" i="5" s="1"/>
  <c r="R2442" i="5"/>
  <c r="F2372" i="5"/>
  <c r="R2372" i="5"/>
  <c r="G2296" i="5"/>
  <c r="E2296" i="5"/>
  <c r="X2296" i="5" s="1"/>
  <c r="J2210" i="5"/>
  <c r="G2210" i="5"/>
  <c r="I2210" i="5"/>
  <c r="E2104" i="5"/>
  <c r="X2104" i="5" s="1"/>
  <c r="G2104" i="5"/>
  <c r="G1972" i="5"/>
  <c r="I1972" i="5"/>
  <c r="E1770" i="5"/>
  <c r="X1770" i="5" s="1"/>
  <c r="H1770" i="5"/>
  <c r="J1748" i="5"/>
  <c r="F1748" i="5"/>
  <c r="E1748" i="5"/>
  <c r="X1748" i="5" s="1"/>
  <c r="E1546" i="5"/>
  <c r="X1546" i="5" s="1"/>
  <c r="H1546" i="5"/>
  <c r="F1546" i="5"/>
  <c r="R1546" i="5"/>
  <c r="I1546" i="5"/>
  <c r="E1534" i="5"/>
  <c r="X1534" i="5" s="1"/>
  <c r="R1534" i="5"/>
  <c r="J1410" i="5"/>
  <c r="E1410" i="5"/>
  <c r="X1410" i="5" s="1"/>
  <c r="I1410" i="5"/>
  <c r="R1410" i="5"/>
  <c r="E1384" i="5"/>
  <c r="X1384" i="5" s="1"/>
  <c r="G1384" i="5"/>
  <c r="E1302" i="5"/>
  <c r="X1302" i="5" s="1"/>
  <c r="G1302" i="5"/>
  <c r="E1242" i="5"/>
  <c r="X1242" i="5" s="1"/>
  <c r="G1242" i="5"/>
  <c r="J1242" i="5"/>
  <c r="H1242" i="5"/>
  <c r="T1773" i="5"/>
  <c r="S1773" i="5"/>
  <c r="T1371" i="5"/>
  <c r="AB1371" i="5"/>
  <c r="G2090" i="5"/>
  <c r="G1784" i="5"/>
  <c r="E2440" i="5"/>
  <c r="X2440" i="5" s="1"/>
  <c r="G2344" i="5"/>
  <c r="E2344" i="5"/>
  <c r="X2344" i="5" s="1"/>
  <c r="E2294" i="5"/>
  <c r="X2294" i="5" s="1"/>
  <c r="G2260" i="5"/>
  <c r="H2260" i="5"/>
  <c r="E2188" i="5"/>
  <c r="X2188" i="5" s="1"/>
  <c r="I2169" i="5"/>
  <c r="F2169" i="5"/>
  <c r="G2145" i="5"/>
  <c r="E2145" i="5"/>
  <c r="X2145" i="5" s="1"/>
  <c r="G2128" i="5"/>
  <c r="E2128" i="5"/>
  <c r="X2128" i="5" s="1"/>
  <c r="G2102" i="5"/>
  <c r="E2102" i="5"/>
  <c r="X2102" i="5" s="1"/>
  <c r="G2082" i="5"/>
  <c r="E2082" i="5"/>
  <c r="X2082" i="5" s="1"/>
  <c r="G2056" i="5"/>
  <c r="F2056" i="5"/>
  <c r="E2046" i="5"/>
  <c r="X2046" i="5" s="1"/>
  <c r="G1950" i="5"/>
  <c r="E1950" i="5"/>
  <c r="X1950" i="5" s="1"/>
  <c r="G1852" i="5"/>
  <c r="E1852" i="5"/>
  <c r="X1852" i="5" s="1"/>
  <c r="E1701" i="5"/>
  <c r="X1701" i="5" s="1"/>
  <c r="G1701" i="5"/>
  <c r="H1636" i="5"/>
  <c r="E1577" i="5"/>
  <c r="X1577" i="5" s="1"/>
  <c r="G1577" i="5"/>
  <c r="I1577" i="5"/>
  <c r="E1522" i="5"/>
  <c r="X1522" i="5" s="1"/>
  <c r="H1522" i="5"/>
  <c r="F1497" i="5"/>
  <c r="E1497" i="5"/>
  <c r="X1497" i="5" s="1"/>
  <c r="E1396" i="5"/>
  <c r="X1396" i="5" s="1"/>
  <c r="G1396" i="5"/>
  <c r="H1396" i="5"/>
  <c r="E1350" i="5"/>
  <c r="X1350" i="5" s="1"/>
  <c r="G1350" i="5"/>
  <c r="G1239" i="5"/>
  <c r="E1239" i="5"/>
  <c r="X1239" i="5" s="1"/>
  <c r="E1227" i="5"/>
  <c r="X1227" i="5" s="1"/>
  <c r="I1227" i="5"/>
  <c r="G1227" i="5"/>
  <c r="T2181" i="5"/>
  <c r="AB2181" i="5"/>
  <c r="G1574" i="5"/>
  <c r="E2325" i="5"/>
  <c r="X2325" i="5" s="1"/>
  <c r="G2325" i="5"/>
  <c r="E2301" i="5"/>
  <c r="X2301" i="5" s="1"/>
  <c r="E2259" i="5"/>
  <c r="X2259" i="5" s="1"/>
  <c r="E2250" i="5"/>
  <c r="X2250" i="5" s="1"/>
  <c r="E2091" i="5"/>
  <c r="X2091" i="5" s="1"/>
  <c r="G2081" i="5"/>
  <c r="E2081" i="5"/>
  <c r="X2081" i="5" s="1"/>
  <c r="J2081" i="5"/>
  <c r="E2055" i="5"/>
  <c r="X2055" i="5" s="1"/>
  <c r="G2055" i="5"/>
  <c r="E2030" i="5"/>
  <c r="X2030" i="5" s="1"/>
  <c r="G2030" i="5"/>
  <c r="R2021" i="5"/>
  <c r="F2021" i="5"/>
  <c r="J2021" i="5"/>
  <c r="H1976" i="5"/>
  <c r="E1976" i="5"/>
  <c r="X1976" i="5" s="1"/>
  <c r="E1958" i="5"/>
  <c r="X1958" i="5" s="1"/>
  <c r="E1829" i="5"/>
  <c r="X1829" i="5" s="1"/>
  <c r="G1829" i="5"/>
  <c r="E1734" i="5"/>
  <c r="X1734" i="5" s="1"/>
  <c r="G1734" i="5"/>
  <c r="E1646" i="5"/>
  <c r="X1646" i="5" s="1"/>
  <c r="G1646" i="5"/>
  <c r="G1395" i="5"/>
  <c r="R1395" i="5"/>
  <c r="E1395" i="5"/>
  <c r="X1395" i="5" s="1"/>
  <c r="E1361" i="5"/>
  <c r="X1361" i="5" s="1"/>
  <c r="I1361" i="5"/>
  <c r="H1361" i="5"/>
  <c r="E1349" i="5"/>
  <c r="X1349" i="5" s="1"/>
  <c r="J1349" i="5"/>
  <c r="I1349" i="5"/>
  <c r="E1286" i="5"/>
  <c r="X1286" i="5" s="1"/>
  <c r="G1286" i="5"/>
  <c r="E1226" i="5"/>
  <c r="X1226" i="5" s="1"/>
  <c r="G1226" i="5"/>
  <c r="E1180" i="5"/>
  <c r="X1180" i="5" s="1"/>
  <c r="G1180" i="5"/>
  <c r="G2070" i="5"/>
  <c r="E2342" i="5"/>
  <c r="X2342" i="5" s="1"/>
  <c r="H2342" i="5"/>
  <c r="G2342" i="5"/>
  <c r="E2324" i="5"/>
  <c r="X2324" i="5" s="1"/>
  <c r="R2324" i="5"/>
  <c r="E2223" i="5"/>
  <c r="X2223" i="5" s="1"/>
  <c r="G2223" i="5"/>
  <c r="R2223" i="5"/>
  <c r="E2062" i="5"/>
  <c r="X2062" i="5" s="1"/>
  <c r="E2054" i="5"/>
  <c r="X2054" i="5" s="1"/>
  <c r="G2054" i="5"/>
  <c r="E1940" i="5"/>
  <c r="X1940" i="5" s="1"/>
  <c r="E1744" i="5"/>
  <c r="X1744" i="5" s="1"/>
  <c r="G1744" i="5"/>
  <c r="E1625" i="5"/>
  <c r="X1625" i="5" s="1"/>
  <c r="G1625" i="5"/>
  <c r="H1625" i="5"/>
  <c r="E1613" i="5"/>
  <c r="X1613" i="5" s="1"/>
  <c r="I1613" i="5"/>
  <c r="R1613" i="5"/>
  <c r="G1613" i="5"/>
  <c r="E1588" i="5"/>
  <c r="X1588" i="5" s="1"/>
  <c r="G1588" i="5"/>
  <c r="G1563" i="5"/>
  <c r="E1563" i="5"/>
  <c r="X1563" i="5" s="1"/>
  <c r="E1552" i="5"/>
  <c r="X1552" i="5" s="1"/>
  <c r="G1552" i="5"/>
  <c r="E1520" i="5"/>
  <c r="X1520" i="5" s="1"/>
  <c r="J1520" i="5"/>
  <c r="R1520" i="5"/>
  <c r="F1520" i="5"/>
  <c r="E1348" i="5"/>
  <c r="X1348" i="5" s="1"/>
  <c r="G1348" i="5"/>
  <c r="R1269" i="5"/>
  <c r="E1269" i="5"/>
  <c r="X1269" i="5" s="1"/>
  <c r="E1214" i="5"/>
  <c r="X1214" i="5" s="1"/>
  <c r="G1214" i="5"/>
  <c r="I1214" i="5"/>
  <c r="E1191" i="5"/>
  <c r="X1191" i="5" s="1"/>
  <c r="G1191" i="5"/>
  <c r="E1179" i="5"/>
  <c r="X1179" i="5" s="1"/>
  <c r="AB2434" i="5"/>
  <c r="T2434" i="5"/>
  <c r="T2266" i="5"/>
  <c r="S2266" i="5"/>
  <c r="E2438" i="5"/>
  <c r="X2438" i="5" s="1"/>
  <c r="I2438" i="5"/>
  <c r="G2428" i="5"/>
  <c r="E2428" i="5"/>
  <c r="X2428" i="5" s="1"/>
  <c r="G2309" i="5"/>
  <c r="J2309" i="5"/>
  <c r="G2222" i="5"/>
  <c r="E2222" i="5"/>
  <c r="X2222" i="5" s="1"/>
  <c r="F2177" i="5"/>
  <c r="E2177" i="5"/>
  <c r="X2177" i="5" s="1"/>
  <c r="R2126" i="5"/>
  <c r="E2126" i="5"/>
  <c r="X2126" i="5" s="1"/>
  <c r="E2036" i="5"/>
  <c r="X2036" i="5" s="1"/>
  <c r="F2036" i="5"/>
  <c r="I2036" i="5"/>
  <c r="G2020" i="5"/>
  <c r="I2020" i="5"/>
  <c r="H2020" i="5"/>
  <c r="E1877" i="5"/>
  <c r="X1877" i="5" s="1"/>
  <c r="R1877" i="5"/>
  <c r="H1877" i="5"/>
  <c r="E1817" i="5"/>
  <c r="X1817" i="5" s="1"/>
  <c r="G1817" i="5"/>
  <c r="E1624" i="5"/>
  <c r="X1624" i="5" s="1"/>
  <c r="G1624" i="5"/>
  <c r="E1600" i="5"/>
  <c r="X1600" i="5" s="1"/>
  <c r="G1600" i="5"/>
  <c r="E1378" i="5"/>
  <c r="X1378" i="5" s="1"/>
  <c r="G1378" i="5"/>
  <c r="E1335" i="5"/>
  <c r="X1335" i="5" s="1"/>
  <c r="G1335" i="5"/>
  <c r="S2492" i="5"/>
  <c r="T2492" i="5"/>
  <c r="AB2492" i="5"/>
  <c r="T2373" i="5"/>
  <c r="S2373" i="5"/>
  <c r="S2342" i="5"/>
  <c r="AB2342" i="5"/>
  <c r="R2477" i="5"/>
  <c r="J2477" i="5"/>
  <c r="E1553" i="5"/>
  <c r="X1553" i="5" s="1"/>
  <c r="G1553" i="5"/>
  <c r="E1468" i="5"/>
  <c r="X1468" i="5" s="1"/>
  <c r="G1468" i="5"/>
  <c r="R1468" i="5"/>
  <c r="I1468" i="5"/>
  <c r="E1456" i="5"/>
  <c r="X1456" i="5" s="1"/>
  <c r="G1456" i="5"/>
  <c r="E1387" i="5"/>
  <c r="X1387" i="5" s="1"/>
  <c r="G1387" i="5"/>
  <c r="I1230" i="5"/>
  <c r="J1230" i="5"/>
  <c r="R1230" i="5"/>
  <c r="E1230" i="5"/>
  <c r="X1230" i="5" s="1"/>
  <c r="G1230" i="5"/>
  <c r="E1184" i="5"/>
  <c r="X1184" i="5" s="1"/>
  <c r="I1184" i="5"/>
  <c r="E1171" i="5"/>
  <c r="X1171" i="5" s="1"/>
  <c r="G1171" i="5"/>
  <c r="F2494" i="5"/>
  <c r="E2494" i="5"/>
  <c r="R2494" i="5"/>
  <c r="G2470" i="5"/>
  <c r="G2458" i="5"/>
  <c r="V2446" i="5"/>
  <c r="G2446" i="5" s="1"/>
  <c r="G2314" i="5"/>
  <c r="G2302" i="5"/>
  <c r="V2290" i="5"/>
  <c r="AB2290" i="5"/>
  <c r="V2158" i="5"/>
  <c r="G2146" i="5"/>
  <c r="G2134" i="5"/>
  <c r="AB2026" i="5"/>
  <c r="V2026" i="5"/>
  <c r="V2002" i="5"/>
  <c r="G2002" i="5" s="1"/>
  <c r="G1990" i="5"/>
  <c r="G1978" i="5"/>
  <c r="T2416" i="5"/>
  <c r="S2416" i="5"/>
  <c r="S2296" i="5"/>
  <c r="T2296" i="5"/>
  <c r="T1911" i="5"/>
  <c r="S1911" i="5"/>
  <c r="AB1911" i="5"/>
  <c r="S2121" i="5"/>
  <c r="T2121" i="5"/>
  <c r="T1931" i="5"/>
  <c r="S1931" i="5"/>
  <c r="G2502" i="5"/>
  <c r="G1376" i="5"/>
  <c r="E2150" i="5"/>
  <c r="X2150" i="5" s="1"/>
  <c r="H2150" i="5"/>
  <c r="G2057" i="5"/>
  <c r="E2057" i="5"/>
  <c r="X2057" i="5" s="1"/>
  <c r="G1984" i="5"/>
  <c r="F1984" i="5"/>
  <c r="I1984" i="5"/>
  <c r="E1830" i="5"/>
  <c r="X1830" i="5" s="1"/>
  <c r="G1830" i="5"/>
  <c r="E1637" i="5"/>
  <c r="X1637" i="5" s="1"/>
  <c r="F1637" i="5"/>
  <c r="E1562" i="5"/>
  <c r="X1562" i="5" s="1"/>
  <c r="G1562" i="5"/>
  <c r="E1540" i="5"/>
  <c r="X1540" i="5" s="1"/>
  <c r="G1540" i="5"/>
  <c r="H1467" i="5"/>
  <c r="J1467" i="5"/>
  <c r="E1365" i="5"/>
  <c r="X1365" i="5" s="1"/>
  <c r="G1365" i="5"/>
  <c r="E1252" i="5"/>
  <c r="X1252" i="5" s="1"/>
  <c r="G1252" i="5"/>
  <c r="R1252" i="5"/>
  <c r="T2429" i="5"/>
  <c r="AB2429" i="5"/>
  <c r="AB2422" i="5"/>
  <c r="AB1797" i="5"/>
  <c r="T1797" i="5"/>
  <c r="T1610" i="5"/>
  <c r="AB1610" i="5"/>
  <c r="G2416" i="5"/>
  <c r="E2416" i="5"/>
  <c r="X2416" i="5" s="1"/>
  <c r="E2393" i="5"/>
  <c r="X2393" i="5" s="1"/>
  <c r="G2393" i="5"/>
  <c r="H2393" i="5"/>
  <c r="I1977" i="5"/>
  <c r="G1977" i="5"/>
  <c r="F1977" i="5"/>
  <c r="E1938" i="5"/>
  <c r="X1938" i="5" s="1"/>
  <c r="G1938" i="5"/>
  <c r="G1913" i="5"/>
  <c r="I1913" i="5"/>
  <c r="E1768" i="5"/>
  <c r="X1768" i="5" s="1"/>
  <c r="E1758" i="5"/>
  <c r="X1758" i="5" s="1"/>
  <c r="G1758" i="5"/>
  <c r="E1576" i="5"/>
  <c r="X1576" i="5" s="1"/>
  <c r="G1576" i="5"/>
  <c r="E1502" i="5"/>
  <c r="X1502" i="5" s="1"/>
  <c r="G1502" i="5"/>
  <c r="E1459" i="5"/>
  <c r="X1459" i="5" s="1"/>
  <c r="G1459" i="5"/>
  <c r="I1447" i="5"/>
  <c r="F1447" i="5"/>
  <c r="E1406" i="5"/>
  <c r="X1406" i="5" s="1"/>
  <c r="G1406" i="5"/>
  <c r="E1328" i="5"/>
  <c r="X1328" i="5" s="1"/>
  <c r="I1328" i="5"/>
  <c r="E1263" i="5"/>
  <c r="X1263" i="5" s="1"/>
  <c r="G1263" i="5"/>
  <c r="T2456" i="5"/>
  <c r="AB2456" i="5"/>
  <c r="T1780" i="5"/>
  <c r="S1780" i="5"/>
  <c r="E1882" i="5"/>
  <c r="X1882" i="5" s="1"/>
  <c r="R1882" i="5"/>
  <c r="V1870" i="5"/>
  <c r="G1870" i="5" s="1"/>
  <c r="G1858" i="5"/>
  <c r="V1822" i="5"/>
  <c r="AB1822" i="5"/>
  <c r="G1810" i="5"/>
  <c r="G1774" i="5"/>
  <c r="AB1762" i="5"/>
  <c r="V1762" i="5"/>
  <c r="V1702" i="5"/>
  <c r="G1702" i="5" s="1"/>
  <c r="G1654" i="5"/>
  <c r="V1630" i="5"/>
  <c r="G1630" i="5" s="1"/>
  <c r="G1594" i="5"/>
  <c r="G1546" i="5"/>
  <c r="V1498" i="5"/>
  <c r="V1486" i="5"/>
  <c r="G1486" i="5" s="1"/>
  <c r="E1450" i="5"/>
  <c r="X1450" i="5" s="1"/>
  <c r="R1450" i="5"/>
  <c r="AB1426" i="5"/>
  <c r="G1426" i="5"/>
  <c r="V1414" i="5"/>
  <c r="AB1414" i="5"/>
  <c r="E1402" i="5"/>
  <c r="X1402" i="5" s="1"/>
  <c r="R1402" i="5"/>
  <c r="V1342" i="5"/>
  <c r="G1342" i="5" s="1"/>
  <c r="G1318" i="5"/>
  <c r="G1306" i="5"/>
  <c r="V1294" i="5"/>
  <c r="AB1294" i="5"/>
  <c r="G1258" i="5"/>
  <c r="V1210" i="5"/>
  <c r="G1210" i="5" s="1"/>
  <c r="V1198" i="5"/>
  <c r="AB1198" i="5"/>
  <c r="V1186" i="5"/>
  <c r="G1186" i="5" s="1"/>
  <c r="T2482" i="5"/>
  <c r="S2482" i="5"/>
  <c r="T2048" i="5"/>
  <c r="AB2048" i="5"/>
  <c r="T1954" i="5"/>
  <c r="S1954" i="5"/>
  <c r="T2381" i="5"/>
  <c r="AB2381" i="5"/>
  <c r="AB2028" i="5"/>
  <c r="T1990" i="5"/>
  <c r="S1990" i="5"/>
  <c r="G2444" i="5"/>
  <c r="V2432" i="5"/>
  <c r="G2420" i="5"/>
  <c r="G2288" i="5"/>
  <c r="G2276" i="5"/>
  <c r="G2264" i="5"/>
  <c r="H2240" i="5"/>
  <c r="E2240" i="5"/>
  <c r="X2240" i="5" s="1"/>
  <c r="G2132" i="5"/>
  <c r="G2120" i="5"/>
  <c r="V2108" i="5"/>
  <c r="G2108" i="5" s="1"/>
  <c r="F2072" i="5"/>
  <c r="E2072" i="5"/>
  <c r="X2072" i="5" s="1"/>
  <c r="G1976" i="5"/>
  <c r="G1964" i="5"/>
  <c r="V1952" i="5"/>
  <c r="G1952" i="5" s="1"/>
  <c r="AB1952" i="5"/>
  <c r="V1856" i="5"/>
  <c r="G1856" i="5" s="1"/>
  <c r="G1844" i="5"/>
  <c r="V1772" i="5"/>
  <c r="G1772" i="5" s="1"/>
  <c r="G1760" i="5"/>
  <c r="G1748" i="5"/>
  <c r="G1688" i="5"/>
  <c r="V1640" i="5"/>
  <c r="G1640" i="5" s="1"/>
  <c r="V1628" i="5"/>
  <c r="G1628" i="5"/>
  <c r="V1592" i="5"/>
  <c r="G1592" i="5" s="1"/>
  <c r="V1580" i="5"/>
  <c r="G1580" i="5" s="1"/>
  <c r="G1532" i="5"/>
  <c r="G1484" i="5"/>
  <c r="G1472" i="5"/>
  <c r="G1448" i="5"/>
  <c r="V1412" i="5"/>
  <c r="G1412" i="5" s="1"/>
  <c r="G1364" i="5"/>
  <c r="V1352" i="5"/>
  <c r="G1352" i="5" s="1"/>
  <c r="V1316" i="5"/>
  <c r="G1304" i="5"/>
  <c r="AB1304" i="5"/>
  <c r="V1292" i="5"/>
  <c r="G1292" i="5" s="1"/>
  <c r="G1256" i="5"/>
  <c r="V1244" i="5"/>
  <c r="G1244" i="5" s="1"/>
  <c r="G1196" i="5"/>
  <c r="G1160" i="5"/>
  <c r="T2314" i="5"/>
  <c r="AB2314" i="5"/>
  <c r="T2285" i="5"/>
  <c r="S2285" i="5"/>
  <c r="H1989" i="5"/>
  <c r="G2367" i="5"/>
  <c r="E2368" i="5"/>
  <c r="X2368" i="5" s="1"/>
  <c r="E1989" i="5"/>
  <c r="X1989" i="5" s="1"/>
  <c r="E1903" i="5"/>
  <c r="X1903" i="5" s="1"/>
  <c r="I1903" i="5"/>
  <c r="E1780" i="5"/>
  <c r="X1780" i="5" s="1"/>
  <c r="G1780" i="5"/>
  <c r="E1721" i="5"/>
  <c r="X1721" i="5" s="1"/>
  <c r="G1721" i="5"/>
  <c r="E1695" i="5"/>
  <c r="X1695" i="5" s="1"/>
  <c r="G1695" i="5"/>
  <c r="E1686" i="5"/>
  <c r="X1686" i="5" s="1"/>
  <c r="E1575" i="5"/>
  <c r="X1575" i="5" s="1"/>
  <c r="E1566" i="5"/>
  <c r="X1566" i="5" s="1"/>
  <c r="G1566" i="5"/>
  <c r="E1528" i="5"/>
  <c r="X1528" i="5" s="1"/>
  <c r="G1528" i="5"/>
  <c r="E1490" i="5"/>
  <c r="X1490" i="5" s="1"/>
  <c r="E1432" i="5"/>
  <c r="X1432" i="5" s="1"/>
  <c r="G1432" i="5"/>
  <c r="E1422" i="5"/>
  <c r="X1422" i="5" s="1"/>
  <c r="G1422" i="5"/>
  <c r="E1324" i="5"/>
  <c r="X1324" i="5" s="1"/>
  <c r="G1324" i="5"/>
  <c r="E1303" i="5"/>
  <c r="X1303" i="5" s="1"/>
  <c r="E1195" i="5"/>
  <c r="X1195" i="5" s="1"/>
  <c r="T2229" i="5"/>
  <c r="AB2229" i="5"/>
  <c r="E2248" i="5"/>
  <c r="X2248" i="5" s="1"/>
  <c r="G2248" i="5"/>
  <c r="E2199" i="5"/>
  <c r="X2199" i="5" s="1"/>
  <c r="H2199" i="5"/>
  <c r="E1960" i="5"/>
  <c r="X1960" i="5" s="1"/>
  <c r="G1960" i="5"/>
  <c r="T1823" i="5"/>
  <c r="AB1823" i="5"/>
  <c r="G2079" i="5"/>
  <c r="G1911" i="5"/>
  <c r="E1745" i="5"/>
  <c r="X1745" i="5" s="1"/>
  <c r="G1745" i="5"/>
  <c r="E1648" i="5"/>
  <c r="X1648" i="5" s="1"/>
  <c r="G1648" i="5"/>
  <c r="E1564" i="5"/>
  <c r="X1564" i="5" s="1"/>
  <c r="G1564" i="5"/>
  <c r="E1420" i="5"/>
  <c r="X1420" i="5" s="1"/>
  <c r="G1420" i="5"/>
  <c r="E1312" i="5"/>
  <c r="X1312" i="5" s="1"/>
  <c r="G1312" i="5"/>
  <c r="E1204" i="5"/>
  <c r="X1204" i="5" s="1"/>
  <c r="G1204" i="5"/>
  <c r="E1480" i="5"/>
  <c r="X1480" i="5" s="1"/>
  <c r="G1480" i="5"/>
  <c r="E1408" i="5"/>
  <c r="X1408" i="5" s="1"/>
  <c r="G1408" i="5"/>
  <c r="E1372" i="5"/>
  <c r="X1372" i="5" s="1"/>
  <c r="G1372" i="5"/>
  <c r="E1336" i="5"/>
  <c r="X1336" i="5" s="1"/>
  <c r="E1264" i="5"/>
  <c r="X1264" i="5" s="1"/>
  <c r="G1264" i="5"/>
  <c r="E1228" i="5"/>
  <c r="X1228" i="5" s="1"/>
  <c r="G1228" i="5"/>
  <c r="E1192" i="5"/>
  <c r="X1192" i="5" s="1"/>
  <c r="G1192" i="5"/>
  <c r="E1840" i="5"/>
  <c r="X1840" i="5" s="1"/>
  <c r="G1840" i="5"/>
  <c r="E1696" i="5"/>
  <c r="X1696" i="5" s="1"/>
  <c r="G1696" i="5"/>
  <c r="F69" i="6"/>
  <c r="F39" i="6"/>
  <c r="H39" i="6" s="1"/>
  <c r="D39" i="6" s="1"/>
  <c r="F34" i="6"/>
  <c r="B34" i="6"/>
  <c r="G34" i="6" s="1"/>
  <c r="B49" i="6"/>
  <c r="G49" i="6" s="1"/>
  <c r="B29" i="6"/>
  <c r="G29" i="6" s="1"/>
  <c r="B24" i="6"/>
  <c r="G24" i="6" s="1"/>
  <c r="H24" i="6" s="1"/>
  <c r="D24" i="6" s="1"/>
  <c r="B44" i="6"/>
  <c r="G44" i="6" s="1"/>
  <c r="B22" i="6"/>
  <c r="B37" i="6" s="1"/>
  <c r="G37" i="6" s="1"/>
  <c r="B52" i="6"/>
  <c r="G52" i="6" s="1"/>
  <c r="C17" i="6"/>
  <c r="D19" i="6"/>
  <c r="K65" i="6"/>
  <c r="B81" i="4"/>
  <c r="A58" i="6" s="1"/>
  <c r="B83" i="4"/>
  <c r="A59" i="6" s="1"/>
  <c r="F44" i="6"/>
  <c r="F49" i="6"/>
  <c r="B67" i="4"/>
  <c r="A48" i="6" s="1"/>
  <c r="B49" i="4"/>
  <c r="A33" i="6" s="1"/>
  <c r="B61" i="4"/>
  <c r="A43" i="6" s="1"/>
  <c r="B77" i="4"/>
  <c r="A55" i="6" s="1"/>
  <c r="F29" i="6"/>
  <c r="F65" i="6"/>
  <c r="B37" i="4"/>
  <c r="A23" i="6" s="1"/>
  <c r="B55" i="4"/>
  <c r="A38" i="6" s="1"/>
  <c r="C12" i="6"/>
  <c r="F45" i="6"/>
  <c r="H45" i="6" s="1"/>
  <c r="D45" i="6" s="1"/>
  <c r="G20" i="6"/>
  <c r="H20" i="6" s="1"/>
  <c r="D20" i="6" s="1"/>
  <c r="F40" i="6"/>
  <c r="B35" i="6"/>
  <c r="G35" i="6" s="1"/>
  <c r="F35" i="6"/>
  <c r="H35" i="6" s="1"/>
  <c r="D35" i="6" s="1"/>
  <c r="C45" i="6"/>
  <c r="C20" i="6"/>
  <c r="B25" i="6"/>
  <c r="G25" i="6" s="1"/>
  <c r="H25" i="6" s="1"/>
  <c r="F30" i="6"/>
  <c r="H30" i="6" s="1"/>
  <c r="D30" i="6" s="1"/>
  <c r="B50" i="6"/>
  <c r="G50" i="6" s="1"/>
  <c r="H50" i="6" s="1"/>
  <c r="B40" i="6"/>
  <c r="G40" i="6" s="1"/>
  <c r="B79" i="4"/>
  <c r="A57" i="6" s="1"/>
  <c r="C16" i="6"/>
  <c r="B36" i="6"/>
  <c r="G36" i="6" s="1"/>
  <c r="B89" i="4"/>
  <c r="A63" i="6" s="1"/>
  <c r="B51" i="6"/>
  <c r="G51" i="6" s="1"/>
  <c r="F41" i="6"/>
  <c r="F36" i="6"/>
  <c r="H36" i="6" s="1"/>
  <c r="D36" i="6" s="1"/>
  <c r="F51" i="6"/>
  <c r="F46" i="6"/>
  <c r="F67" i="6"/>
  <c r="F31" i="6"/>
  <c r="B26" i="6"/>
  <c r="G26" i="6" s="1"/>
  <c r="H26" i="6" s="1"/>
  <c r="G21" i="6"/>
  <c r="H21" i="6" s="1"/>
  <c r="B46" i="6"/>
  <c r="G46" i="6" s="1"/>
  <c r="B31" i="6"/>
  <c r="G31" i="6" s="1"/>
  <c r="B41" i="6"/>
  <c r="G41" i="6" s="1"/>
  <c r="B85" i="4"/>
  <c r="A60" i="6" s="1"/>
  <c r="A71" i="2"/>
  <c r="I59" i="6"/>
  <c r="D4" i="8"/>
  <c r="I21" i="6"/>
  <c r="B27" i="3"/>
  <c r="A25" i="2"/>
  <c r="A58" i="2"/>
  <c r="I57" i="6"/>
  <c r="J19" i="6"/>
  <c r="C19" i="6" s="1"/>
  <c r="K4" i="5"/>
  <c r="B6" i="3"/>
  <c r="I55" i="6"/>
  <c r="J63" i="6"/>
  <c r="B17" i="4"/>
  <c r="A9" i="6" s="1"/>
  <c r="B28" i="4"/>
  <c r="A16" i="6" s="1"/>
  <c r="C27" i="3"/>
  <c r="C17" i="3"/>
  <c r="A48" i="2"/>
  <c r="B19" i="4"/>
  <c r="B26" i="4"/>
  <c r="A14" i="6" s="1"/>
  <c r="B25" i="3"/>
  <c r="D11" i="4"/>
  <c r="B3" i="6"/>
  <c r="B19" i="3"/>
  <c r="A8" i="2"/>
  <c r="A24" i="2"/>
  <c r="J55" i="6"/>
  <c r="B43" i="4"/>
  <c r="A28" i="6" s="1"/>
  <c r="I74" i="4"/>
  <c r="A65" i="2"/>
  <c r="I47" i="6"/>
  <c r="I46" i="6"/>
  <c r="C24" i="3"/>
  <c r="C31" i="3"/>
  <c r="A60" i="2"/>
  <c r="A21" i="2"/>
  <c r="A13" i="2"/>
  <c r="B39" i="4"/>
  <c r="B57" i="4" s="1"/>
  <c r="A40" i="6" s="1"/>
  <c r="A45" i="2"/>
  <c r="B17" i="3"/>
  <c r="E4" i="5"/>
  <c r="C30" i="3"/>
  <c r="B20" i="4"/>
  <c r="A11" i="6" s="1"/>
  <c r="A40" i="2"/>
  <c r="I39" i="6"/>
  <c r="J37" i="6"/>
  <c r="C8" i="3"/>
  <c r="C15" i="3"/>
  <c r="A9" i="2"/>
  <c r="B4" i="5"/>
  <c r="B87" i="4"/>
  <c r="A62" i="6" s="1"/>
  <c r="B29" i="3"/>
  <c r="B31" i="4"/>
  <c r="A18" i="6" s="1"/>
  <c r="A3" i="2"/>
  <c r="G5" i="6"/>
  <c r="H5" i="6" s="1"/>
  <c r="D5" i="6" s="1"/>
  <c r="C5" i="6"/>
  <c r="B33" i="4"/>
  <c r="A20" i="6" s="1"/>
  <c r="A15" i="6"/>
  <c r="B35" i="4"/>
  <c r="A22" i="6" s="1"/>
  <c r="A24" i="6"/>
  <c r="B68" i="4"/>
  <c r="A49" i="6" s="1"/>
  <c r="B56" i="4"/>
  <c r="A39" i="6" s="1"/>
  <c r="D74" i="4"/>
  <c r="B59" i="4"/>
  <c r="A42" i="6" s="1"/>
  <c r="D61" i="4"/>
  <c r="B70" i="4"/>
  <c r="A51" i="6" s="1"/>
  <c r="D37" i="4"/>
  <c r="B50" i="4"/>
  <c r="A34" i="6" s="1"/>
  <c r="B64" i="4"/>
  <c r="A46" i="6" s="1"/>
  <c r="B58" i="4"/>
  <c r="A41" i="6" s="1"/>
  <c r="B65" i="4"/>
  <c r="A47" i="6" s="1"/>
  <c r="B71" i="4"/>
  <c r="A52" i="6" s="1"/>
  <c r="B52" i="4"/>
  <c r="A36" i="6" s="1"/>
  <c r="B53" i="4"/>
  <c r="A37" i="6" s="1"/>
  <c r="D67" i="4"/>
  <c r="D31" i="4"/>
  <c r="G49" i="4"/>
  <c r="G31" i="4"/>
  <c r="G55" i="4"/>
  <c r="D43" i="4"/>
  <c r="D55" i="4"/>
  <c r="G64" i="6"/>
  <c r="G74" i="4"/>
  <c r="G67" i="4"/>
  <c r="G37" i="4"/>
  <c r="G43" i="4"/>
  <c r="T943" i="5"/>
  <c r="T950" i="5"/>
  <c r="T1055" i="5"/>
  <c r="T1109" i="5"/>
  <c r="T963" i="5"/>
  <c r="T1016" i="5"/>
  <c r="T1084" i="5"/>
  <c r="T961" i="5"/>
  <c r="T1035" i="5"/>
  <c r="T1111" i="5"/>
  <c r="T1034" i="5"/>
  <c r="T1117" i="5"/>
  <c r="T1033" i="5"/>
  <c r="T996" i="5"/>
  <c r="T1134" i="5"/>
  <c r="T1002" i="5"/>
  <c r="T1078" i="5"/>
  <c r="T1001" i="5"/>
  <c r="T1050" i="5"/>
  <c r="T1141" i="5"/>
  <c r="T1142" i="5"/>
  <c r="T946" i="5"/>
  <c r="T969" i="5"/>
  <c r="T1043" i="5"/>
  <c r="T1076" i="5"/>
  <c r="T988" i="5"/>
  <c r="T1048" i="5"/>
  <c r="T974" i="5"/>
  <c r="T978" i="5"/>
  <c r="T1045" i="5"/>
  <c r="T1013" i="5"/>
  <c r="T1041" i="5"/>
  <c r="T1088" i="5"/>
  <c r="T1089" i="5"/>
  <c r="T1025" i="5"/>
  <c r="T1010" i="5"/>
  <c r="T1122" i="5"/>
  <c r="T1060" i="5"/>
  <c r="T1153" i="5"/>
  <c r="T1119" i="5"/>
  <c r="T1115" i="5"/>
  <c r="T955" i="5"/>
  <c r="T1003" i="5"/>
  <c r="T1007" i="5"/>
  <c r="T1080" i="5"/>
  <c r="T1062" i="5"/>
  <c r="T1005" i="5"/>
  <c r="T979" i="5"/>
  <c r="T1009" i="5"/>
  <c r="T1128" i="5"/>
  <c r="T1151" i="5"/>
  <c r="T970" i="5"/>
  <c r="T1140" i="5"/>
  <c r="T1058" i="5"/>
  <c r="T1094" i="5"/>
  <c r="T1149" i="5"/>
  <c r="T1044" i="5"/>
  <c r="T1064" i="5"/>
  <c r="T1133" i="5"/>
  <c r="T1116" i="5"/>
  <c r="T765" i="5"/>
  <c r="T835" i="5"/>
  <c r="T891" i="5"/>
  <c r="T828" i="5"/>
  <c r="T791" i="5"/>
  <c r="T821" i="5"/>
  <c r="T875" i="5"/>
  <c r="T794" i="5"/>
  <c r="T935" i="5"/>
  <c r="T769" i="5"/>
  <c r="T804" i="5"/>
  <c r="T812" i="5"/>
  <c r="T938" i="5"/>
  <c r="T905" i="5"/>
  <c r="T844" i="5"/>
  <c r="T557" i="5"/>
  <c r="T681" i="5"/>
  <c r="T546" i="5"/>
  <c r="T594" i="5"/>
  <c r="T617" i="5"/>
  <c r="T685" i="5"/>
  <c r="T753" i="5"/>
  <c r="T707" i="5"/>
  <c r="T734" i="5"/>
  <c r="T747" i="5"/>
  <c r="T732" i="5"/>
  <c r="T630" i="5"/>
  <c r="T552" i="5"/>
  <c r="T737" i="5"/>
  <c r="T677" i="5"/>
  <c r="T539" i="5"/>
  <c r="T591" i="5"/>
  <c r="T574" i="5"/>
  <c r="T536" i="5"/>
  <c r="T500" i="5"/>
  <c r="T528" i="5"/>
  <c r="T510" i="5"/>
  <c r="T501" i="5"/>
  <c r="T372" i="5"/>
  <c r="T456" i="5"/>
  <c r="T363" i="5"/>
  <c r="T393" i="5"/>
  <c r="T423" i="5"/>
  <c r="T397" i="5"/>
  <c r="T446" i="5"/>
  <c r="T377" i="5"/>
  <c r="T280" i="5"/>
  <c r="T829" i="5"/>
  <c r="T763" i="5"/>
  <c r="T864" i="5"/>
  <c r="T796" i="5"/>
  <c r="T766" i="5"/>
  <c r="T784" i="5"/>
  <c r="T874" i="5"/>
  <c r="T936" i="5"/>
  <c r="T857" i="5"/>
  <c r="T929" i="5"/>
  <c r="T811" i="5"/>
  <c r="T853" i="5"/>
  <c r="T803" i="5"/>
  <c r="T837" i="5"/>
  <c r="T783" i="5"/>
  <c r="T610" i="5"/>
  <c r="T648" i="5"/>
  <c r="T580" i="5"/>
  <c r="T750" i="5"/>
  <c r="T599" i="5"/>
  <c r="T598" i="5"/>
  <c r="T690" i="5"/>
  <c r="T549" i="5"/>
  <c r="T674" i="5"/>
  <c r="T564" i="5"/>
  <c r="T751" i="5"/>
  <c r="T600" i="5"/>
  <c r="T604" i="5"/>
  <c r="T725" i="5"/>
  <c r="T624" i="5"/>
  <c r="T717" i="5"/>
  <c r="T746" i="5"/>
  <c r="T671" i="5"/>
  <c r="T534" i="5"/>
  <c r="T1158" i="5"/>
  <c r="T993" i="5"/>
  <c r="T983" i="5"/>
  <c r="T1104" i="5"/>
  <c r="T1092" i="5"/>
  <c r="T991" i="5"/>
  <c r="T986" i="5"/>
  <c r="T952" i="5"/>
  <c r="T1112" i="5"/>
  <c r="T1021" i="5"/>
  <c r="T1131" i="5"/>
  <c r="T960" i="5"/>
  <c r="T1093" i="5"/>
  <c r="T999" i="5"/>
  <c r="T958" i="5"/>
  <c r="T1074" i="5"/>
  <c r="T1030" i="5"/>
  <c r="T947" i="5"/>
  <c r="T1146" i="5"/>
  <c r="T1127" i="5"/>
  <c r="T959" i="5"/>
  <c r="T1096" i="5"/>
  <c r="T980" i="5"/>
  <c r="T1036" i="5"/>
  <c r="T1083" i="5"/>
  <c r="T994" i="5"/>
  <c r="T1135" i="5"/>
  <c r="T1073" i="5"/>
  <c r="T1046" i="5"/>
  <c r="T1070" i="5"/>
  <c r="T956" i="5"/>
  <c r="T1047" i="5"/>
  <c r="T951" i="5"/>
  <c r="T1079" i="5"/>
  <c r="T1110" i="5"/>
  <c r="T948" i="5"/>
  <c r="T990" i="5"/>
  <c r="T1059" i="5"/>
  <c r="T1150" i="5"/>
  <c r="T1057" i="5"/>
  <c r="T1132" i="5"/>
  <c r="T1105" i="5"/>
  <c r="T1037" i="5"/>
  <c r="T1072" i="5"/>
  <c r="T967" i="5"/>
  <c r="T1051" i="5"/>
  <c r="T1120" i="5"/>
  <c r="T1144" i="5"/>
  <c r="T1136" i="5"/>
  <c r="T1054" i="5"/>
  <c r="T1071" i="5"/>
  <c r="T1113" i="5"/>
  <c r="T906" i="5"/>
  <c r="T831" i="5"/>
  <c r="T939" i="5"/>
  <c r="T832" i="5"/>
  <c r="T923" i="5"/>
  <c r="T872" i="5"/>
  <c r="T802" i="5"/>
  <c r="T799" i="5"/>
  <c r="T863" i="5"/>
  <c r="T855" i="5"/>
  <c r="T861" i="5"/>
  <c r="T787" i="5"/>
  <c r="T836" i="5"/>
  <c r="T838" i="5"/>
  <c r="T768" i="5"/>
  <c r="T705" i="5"/>
  <c r="T704" i="5"/>
  <c r="T566" i="5"/>
  <c r="T691" i="5"/>
  <c r="T745" i="5"/>
  <c r="T744" i="5"/>
  <c r="T652" i="5"/>
  <c r="T547" i="5"/>
  <c r="T641" i="5"/>
  <c r="T716" i="5"/>
  <c r="T702" i="5"/>
  <c r="T623" i="5"/>
  <c r="T634" i="5"/>
  <c r="T614" i="5"/>
  <c r="T711" i="5"/>
  <c r="T578" i="5"/>
  <c r="T618" i="5"/>
  <c r="T601" i="5"/>
  <c r="T493" i="5"/>
  <c r="T511" i="5"/>
  <c r="T488" i="5"/>
  <c r="T1099" i="5"/>
  <c r="T985" i="5"/>
  <c r="T1097" i="5"/>
  <c r="T1031" i="5"/>
  <c r="T972" i="5"/>
  <c r="T1085" i="5"/>
  <c r="T1052" i="5"/>
  <c r="T1006" i="5"/>
  <c r="T1145" i="5"/>
  <c r="T995" i="5"/>
  <c r="T1069" i="5"/>
  <c r="T1014" i="5"/>
  <c r="T997" i="5"/>
  <c r="T1063" i="5"/>
  <c r="T1008" i="5"/>
  <c r="T1042" i="5"/>
  <c r="T1065" i="5"/>
  <c r="T1114" i="5"/>
  <c r="T1108" i="5"/>
  <c r="T1106" i="5"/>
  <c r="T1102" i="5"/>
  <c r="T1123" i="5"/>
  <c r="T1066" i="5"/>
  <c r="T1082" i="5"/>
  <c r="T1124" i="5"/>
  <c r="T1040" i="5"/>
  <c r="T954" i="5"/>
  <c r="T1086" i="5"/>
  <c r="T1038" i="5"/>
  <c r="T1155" i="5"/>
  <c r="T1068" i="5"/>
  <c r="T1154" i="5"/>
  <c r="T1019" i="5"/>
  <c r="T1077" i="5"/>
  <c r="T1137" i="5"/>
  <c r="T982" i="5"/>
  <c r="T1028" i="5"/>
  <c r="T1029" i="5"/>
  <c r="T973" i="5"/>
  <c r="T984" i="5"/>
  <c r="T975" i="5"/>
  <c r="T1061" i="5"/>
  <c r="T1121" i="5"/>
  <c r="T971" i="5"/>
  <c r="T1022" i="5"/>
  <c r="T1118" i="5"/>
  <c r="T962" i="5"/>
  <c r="T1023" i="5"/>
  <c r="T1103" i="5"/>
  <c r="T957" i="5"/>
  <c r="T998" i="5"/>
  <c r="T987" i="5"/>
  <c r="T1147" i="5"/>
  <c r="T1000" i="5"/>
  <c r="T953" i="5"/>
  <c r="T968" i="5"/>
  <c r="T1148" i="5"/>
  <c r="T1049" i="5"/>
  <c r="T1067" i="5"/>
  <c r="T966" i="5"/>
  <c r="T1020" i="5"/>
  <c r="T1081" i="5"/>
  <c r="T1126" i="5"/>
  <c r="T1143" i="5"/>
  <c r="T1130" i="5"/>
  <c r="T1087" i="5"/>
  <c r="T1053" i="5"/>
  <c r="T1018" i="5"/>
  <c r="T867" i="5"/>
  <c r="T866" i="5"/>
  <c r="T852" i="5"/>
  <c r="T770" i="5"/>
  <c r="T849" i="5"/>
  <c r="T854" i="5"/>
  <c r="T895" i="5"/>
  <c r="T847" i="5"/>
  <c r="T910" i="5"/>
  <c r="T810" i="5"/>
  <c r="T758" i="5"/>
  <c r="T664" i="5"/>
  <c r="T573" i="5"/>
  <c r="T749" i="5"/>
  <c r="T567" i="5"/>
  <c r="T551" i="5"/>
  <c r="T680" i="5"/>
  <c r="T586" i="5"/>
  <c r="T701" i="5"/>
  <c r="T626" i="5"/>
  <c r="T668" i="5"/>
  <c r="T607" i="5"/>
  <c r="T654" i="5"/>
  <c r="T693" i="5"/>
  <c r="T527" i="5"/>
  <c r="T509" i="5"/>
  <c r="T532" i="5"/>
  <c r="T494" i="5"/>
  <c r="T398" i="5"/>
  <c r="T411" i="5"/>
  <c r="T442" i="5"/>
  <c r="T412" i="5"/>
  <c r="T373" i="5"/>
  <c r="T432" i="5"/>
  <c r="T463" i="5"/>
  <c r="T452" i="5"/>
  <c r="T295" i="5"/>
  <c r="T451" i="5"/>
  <c r="T401" i="5"/>
  <c r="T434" i="5"/>
  <c r="T97" i="5"/>
  <c r="T142" i="5"/>
  <c r="T1101" i="5"/>
  <c r="T918" i="5"/>
  <c r="T767" i="5"/>
  <c r="T848" i="5"/>
  <c r="T830" i="5"/>
  <c r="T851" i="5"/>
  <c r="T882" i="5"/>
  <c r="T904" i="5"/>
  <c r="T928" i="5"/>
  <c r="T788" i="5"/>
  <c r="T913" i="5"/>
  <c r="T565" i="5"/>
  <c r="T554" i="5"/>
  <c r="T568" i="5"/>
  <c r="T708" i="5"/>
  <c r="T670" i="5"/>
  <c r="T542" i="5"/>
  <c r="T719" i="5"/>
  <c r="T686" i="5"/>
  <c r="T611" i="5"/>
  <c r="T603" i="5"/>
  <c r="T620" i="5"/>
  <c r="T730" i="5"/>
  <c r="T679" i="5"/>
  <c r="T531" i="5"/>
  <c r="T523" i="5"/>
  <c r="T507" i="5"/>
  <c r="T449" i="5"/>
  <c r="T353" i="5"/>
  <c r="T478" i="5"/>
  <c r="T286" i="5"/>
  <c r="T355" i="5"/>
  <c r="T130" i="5"/>
  <c r="T38" i="5"/>
  <c r="T992" i="5"/>
  <c r="T901" i="5"/>
  <c r="T775" i="5"/>
  <c r="T642" i="5"/>
  <c r="T596" i="5"/>
  <c r="T637" i="5"/>
  <c r="T533" i="5"/>
  <c r="T364" i="5"/>
  <c r="T902" i="5"/>
  <c r="T846" i="5"/>
  <c r="T860" i="5"/>
  <c r="T613" i="5"/>
  <c r="T593" i="5"/>
  <c r="T583" i="5"/>
  <c r="T485" i="5"/>
  <c r="T352" i="5"/>
  <c r="T258" i="5"/>
  <c r="T781" i="5"/>
  <c r="T924" i="5"/>
  <c r="T894" i="5"/>
  <c r="T559" i="5"/>
  <c r="T692" i="5"/>
  <c r="T659" i="5"/>
  <c r="T475" i="5"/>
  <c r="T468" i="5"/>
  <c r="T945" i="5"/>
  <c r="T1012" i="5"/>
  <c r="T1091" i="5"/>
  <c r="T632" i="5"/>
  <c r="T517" i="5"/>
  <c r="T1075" i="5"/>
  <c r="T1027" i="5"/>
  <c r="T1032" i="5"/>
  <c r="T899" i="5"/>
  <c r="T893" i="5"/>
  <c r="T778" i="5"/>
  <c r="T883" i="5"/>
  <c r="T871" i="5"/>
  <c r="T777" i="5"/>
  <c r="T774" i="5"/>
  <c r="T892" i="5"/>
  <c r="T786" i="5"/>
  <c r="T896" i="5"/>
  <c r="T915" i="5"/>
  <c r="T720" i="5"/>
  <c r="T619" i="5"/>
  <c r="T644" i="5"/>
  <c r="T615" i="5"/>
  <c r="T622" i="5"/>
  <c r="T724" i="5"/>
  <c r="T635" i="5"/>
  <c r="T696" i="5"/>
  <c r="T628" i="5"/>
  <c r="T656" i="5"/>
  <c r="T558" i="5"/>
  <c r="T661" i="5"/>
  <c r="T621" i="5"/>
  <c r="T572" i="5"/>
  <c r="T530" i="5"/>
  <c r="T502" i="5"/>
  <c r="T529" i="5"/>
  <c r="T495" i="5"/>
  <c r="T399" i="5"/>
  <c r="T394" i="5"/>
  <c r="T350" i="5"/>
  <c r="T357" i="5"/>
  <c r="T429" i="5"/>
  <c r="T419" i="5"/>
  <c r="T417" i="5"/>
  <c r="T400" i="5"/>
  <c r="T368" i="5"/>
  <c r="T390" i="5"/>
  <c r="T413" i="5"/>
  <c r="T470" i="5"/>
  <c r="T356" i="5"/>
  <c r="T391" i="5"/>
  <c r="T34" i="5"/>
  <c r="T212" i="5"/>
  <c r="T129" i="5"/>
  <c r="T688" i="5"/>
  <c r="T543" i="5"/>
  <c r="T682" i="5"/>
  <c r="T714" i="5"/>
  <c r="T735" i="5"/>
  <c r="T481" i="5"/>
  <c r="T522" i="5"/>
  <c r="T498" i="5"/>
  <c r="T403" i="5"/>
  <c r="T433" i="5"/>
  <c r="T396" i="5"/>
  <c r="T887" i="5"/>
  <c r="T840" i="5"/>
  <c r="T545" i="5"/>
  <c r="T535" i="5"/>
  <c r="T349" i="5"/>
  <c r="T476" i="5"/>
  <c r="T989" i="5"/>
  <c r="T780" i="5"/>
  <c r="T722" i="5"/>
  <c r="T508" i="5"/>
  <c r="T465" i="5"/>
  <c r="T458" i="5"/>
  <c r="T1095" i="5"/>
  <c r="T779" i="5"/>
  <c r="T687" i="5"/>
  <c r="T506" i="5"/>
  <c r="T249" i="5"/>
  <c r="T965" i="5"/>
  <c r="T1017" i="5"/>
  <c r="T1129" i="5"/>
  <c r="T827" i="5"/>
  <c r="T764" i="5"/>
  <c r="T771" i="5"/>
  <c r="T826" i="5"/>
  <c r="T934" i="5"/>
  <c r="T868" i="5"/>
  <c r="T880" i="5"/>
  <c r="T823" i="5"/>
  <c r="T876" i="5"/>
  <c r="T785" i="5"/>
  <c r="T850" i="5"/>
  <c r="T721" i="5"/>
  <c r="T698" i="5"/>
  <c r="T592" i="5"/>
  <c r="T669" i="5"/>
  <c r="T660" i="5"/>
  <c r="T612" i="5"/>
  <c r="T673" i="5"/>
  <c r="T700" i="5"/>
  <c r="T638" i="5"/>
  <c r="T710" i="5"/>
  <c r="T695" i="5"/>
  <c r="T609" i="5"/>
  <c r="T544" i="5"/>
  <c r="T703" i="5"/>
  <c r="T512" i="5"/>
  <c r="T516" i="5"/>
  <c r="T525" i="5"/>
  <c r="T499" i="5"/>
  <c r="T405" i="5"/>
  <c r="T460" i="5"/>
  <c r="T395" i="5"/>
  <c r="T402" i="5"/>
  <c r="T420" i="5"/>
  <c r="T461" i="5"/>
  <c r="T439" i="5"/>
  <c r="T474" i="5"/>
  <c r="T421" i="5"/>
  <c r="T137" i="5"/>
  <c r="T944" i="5"/>
  <c r="T1152" i="5"/>
  <c r="T1039" i="5"/>
  <c r="T843" i="5"/>
  <c r="T820" i="5"/>
  <c r="T808" i="5"/>
  <c r="T870" i="5"/>
  <c r="T920" i="5"/>
  <c r="T917" i="5"/>
  <c r="T793" i="5"/>
  <c r="T801" i="5"/>
  <c r="T789" i="5"/>
  <c r="T814" i="5"/>
  <c r="T885" i="5"/>
  <c r="T655" i="5"/>
  <c r="T643" i="5"/>
  <c r="T582" i="5"/>
  <c r="T541" i="5"/>
  <c r="T712" i="5"/>
  <c r="T562" i="5"/>
  <c r="T627" i="5"/>
  <c r="T726" i="5"/>
  <c r="T748" i="5"/>
  <c r="T520" i="5"/>
  <c r="T469" i="5"/>
  <c r="T410" i="5"/>
  <c r="T383" i="5"/>
  <c r="T1098" i="5"/>
  <c r="T926" i="5"/>
  <c r="T792" i="5"/>
  <c r="T555" i="5"/>
  <c r="T657" i="5"/>
  <c r="T595" i="5"/>
  <c r="T526" i="5"/>
  <c r="T367" i="5"/>
  <c r="T32" i="5"/>
  <c r="T977" i="5"/>
  <c r="T897" i="5"/>
  <c r="T919" i="5"/>
  <c r="T697" i="5"/>
  <c r="T665" i="5"/>
  <c r="T678" i="5"/>
  <c r="T384" i="5"/>
  <c r="T424" i="5"/>
  <c r="T59" i="5"/>
  <c r="T898" i="5"/>
  <c r="T881" i="5"/>
  <c r="T878" i="5"/>
  <c r="T741" i="5"/>
  <c r="T587" i="5"/>
  <c r="T515" i="5"/>
  <c r="T471" i="5"/>
  <c r="T386" i="5"/>
  <c r="T1107" i="5"/>
  <c r="T571" i="5"/>
  <c r="T1100" i="5"/>
  <c r="T1139" i="5"/>
  <c r="T1125" i="5"/>
  <c r="T839" i="5"/>
  <c r="T806" i="5"/>
  <c r="T890" i="5"/>
  <c r="T914" i="5"/>
  <c r="T825" i="5"/>
  <c r="T834" i="5"/>
  <c r="T761" i="5"/>
  <c r="T912" i="5"/>
  <c r="T822" i="5"/>
  <c r="T795" i="5"/>
  <c r="T900" i="5"/>
  <c r="T540" i="5"/>
  <c r="T646" i="5"/>
  <c r="T570" i="5"/>
  <c r="T658" i="5"/>
  <c r="T581" i="5"/>
  <c r="T662" i="5"/>
  <c r="T706" i="5"/>
  <c r="T650" i="5"/>
  <c r="T584" i="5"/>
  <c r="T653" i="5"/>
  <c r="T689" i="5"/>
  <c r="T684" i="5"/>
  <c r="T585" i="5"/>
  <c r="T496" i="5"/>
  <c r="T492" i="5"/>
  <c r="T497" i="5"/>
  <c r="T489" i="5"/>
  <c r="T354" i="5"/>
  <c r="T437" i="5"/>
  <c r="T387" i="5"/>
  <c r="T472" i="5"/>
  <c r="T378" i="5"/>
  <c r="T430" i="5"/>
  <c r="T459" i="5"/>
  <c r="T436" i="5"/>
  <c r="T360" i="5"/>
  <c r="T435" i="5"/>
  <c r="T379" i="5"/>
  <c r="T408" i="5"/>
  <c r="T232" i="5"/>
  <c r="T454" i="5"/>
  <c r="T414" i="5"/>
  <c r="T243" i="5"/>
  <c r="T798" i="5"/>
  <c r="T589" i="5"/>
  <c r="T666" i="5"/>
  <c r="T392" i="5"/>
  <c r="T776" i="5"/>
  <c r="T560" i="5"/>
  <c r="T683" i="5"/>
  <c r="T845" i="5"/>
  <c r="T742" i="5"/>
  <c r="T649" i="5"/>
  <c r="T415" i="5"/>
  <c r="T195" i="5"/>
  <c r="T976" i="5"/>
  <c r="T1090" i="5"/>
  <c r="T949" i="5"/>
  <c r="T884" i="5"/>
  <c r="T909" i="5"/>
  <c r="T930" i="5"/>
  <c r="T921" i="5"/>
  <c r="T813" i="5"/>
  <c r="T889" i="5"/>
  <c r="T911" i="5"/>
  <c r="T937" i="5"/>
  <c r="T907" i="5"/>
  <c r="T886" i="5"/>
  <c r="T782" i="5"/>
  <c r="T740" i="5"/>
  <c r="T575" i="5"/>
  <c r="T579" i="5"/>
  <c r="T556" i="5"/>
  <c r="T743" i="5"/>
  <c r="T588" i="5"/>
  <c r="T631" i="5"/>
  <c r="T727" i="5"/>
  <c r="T608" i="5"/>
  <c r="T676" i="5"/>
  <c r="T675" i="5"/>
  <c r="T645" i="5"/>
  <c r="T605" i="5"/>
  <c r="T484" i="5"/>
  <c r="T513" i="5"/>
  <c r="T486" i="5"/>
  <c r="T524" i="5"/>
  <c r="T462" i="5"/>
  <c r="T351" i="5"/>
  <c r="T406" i="5"/>
  <c r="T457" i="5"/>
  <c r="T371" i="5"/>
  <c r="T409" i="5"/>
  <c r="T467" i="5"/>
  <c r="T438" i="5"/>
  <c r="T443" i="5"/>
  <c r="T427" i="5"/>
  <c r="T362" i="5"/>
  <c r="T230" i="5"/>
  <c r="T95" i="5"/>
  <c r="T375" i="5"/>
  <c r="T296" i="5"/>
  <c r="T29" i="5"/>
  <c r="T807" i="5"/>
  <c r="T842" i="5"/>
  <c r="T731" i="5"/>
  <c r="T466" i="5"/>
  <c r="T453" i="5"/>
  <c r="T1156" i="5"/>
  <c r="T932" i="5"/>
  <c r="T723" i="5"/>
  <c r="T537" i="5"/>
  <c r="T216" i="5"/>
  <c r="T964" i="5"/>
  <c r="T815" i="5"/>
  <c r="T733" i="5"/>
  <c r="T503" i="5"/>
  <c r="T450" i="5"/>
  <c r="T404" i="5"/>
  <c r="T1024" i="5"/>
  <c r="T1011" i="5"/>
  <c r="T942" i="5"/>
  <c r="T819" i="5"/>
  <c r="T903" i="5"/>
  <c r="T858" i="5"/>
  <c r="T925" i="5"/>
  <c r="T800" i="5"/>
  <c r="T869" i="5"/>
  <c r="T805" i="5"/>
  <c r="T933" i="5"/>
  <c r="T922" i="5"/>
  <c r="T816" i="5"/>
  <c r="T908" i="5"/>
  <c r="T739" i="5"/>
  <c r="T548" i="5"/>
  <c r="T576" i="5"/>
  <c r="T672" i="5"/>
  <c r="T699" i="5"/>
  <c r="T597" i="5"/>
  <c r="T738" i="5"/>
  <c r="T728" i="5"/>
  <c r="T602" i="5"/>
  <c r="T718" i="5"/>
  <c r="T590" i="5"/>
  <c r="T640" i="5"/>
  <c r="T569" i="5"/>
  <c r="T491" i="5"/>
  <c r="T519" i="5"/>
  <c r="T482" i="5"/>
  <c r="T514" i="5"/>
  <c r="T304" i="5"/>
  <c r="T441" i="5"/>
  <c r="T418" i="5"/>
  <c r="T370" i="5"/>
  <c r="T464" i="5"/>
  <c r="T303" i="5"/>
  <c r="T376" i="5"/>
  <c r="T416" i="5"/>
  <c r="T428" i="5"/>
  <c r="T389" i="5"/>
  <c r="T445" i="5"/>
  <c r="T102" i="5"/>
  <c r="T37" i="5"/>
  <c r="T222" i="5"/>
  <c r="T440" i="5"/>
  <c r="T426" i="5"/>
  <c r="T431" i="5"/>
  <c r="T133" i="5"/>
  <c r="T859" i="5"/>
  <c r="T625" i="5"/>
  <c r="T651" i="5"/>
  <c r="T366" i="5"/>
  <c r="T365" i="5"/>
  <c r="T817" i="5"/>
  <c r="T879" i="5"/>
  <c r="T616" i="5"/>
  <c r="T487" i="5"/>
  <c r="T358" i="5"/>
  <c r="T1026" i="5"/>
  <c r="T833" i="5"/>
  <c r="T639" i="5"/>
  <c r="T490" i="5"/>
  <c r="T359" i="5"/>
  <c r="T388" i="5"/>
  <c r="T1159" i="5"/>
  <c r="T1004" i="5"/>
  <c r="T1056" i="5"/>
  <c r="T1138" i="5"/>
  <c r="T940" i="5"/>
  <c r="T873" i="5"/>
  <c r="T824" i="5"/>
  <c r="T927" i="5"/>
  <c r="T877" i="5"/>
  <c r="T862" i="5"/>
  <c r="T888" i="5"/>
  <c r="T841" i="5"/>
  <c r="T772" i="5"/>
  <c r="T916" i="5"/>
  <c r="T931" i="5"/>
  <c r="T633" i="5"/>
  <c r="T736" i="5"/>
  <c r="T577" i="5"/>
  <c r="T606" i="5"/>
  <c r="T550" i="5"/>
  <c r="T715" i="5"/>
  <c r="T561" i="5"/>
  <c r="T752" i="5"/>
  <c r="T629" i="5"/>
  <c r="T713" i="5"/>
  <c r="T694" i="5"/>
  <c r="T553" i="5"/>
  <c r="T729" i="5"/>
  <c r="T505" i="5"/>
  <c r="T518" i="5"/>
  <c r="T504" i="5"/>
  <c r="T521" i="5"/>
  <c r="T479" i="5"/>
  <c r="T422" i="5"/>
  <c r="T361" i="5"/>
  <c r="T448" i="5"/>
  <c r="T382" i="5"/>
  <c r="T425" i="5"/>
  <c r="T477" i="5"/>
  <c r="T455" i="5"/>
  <c r="T407" i="5"/>
  <c r="T369" i="5"/>
  <c r="T381" i="5"/>
  <c r="T447" i="5"/>
  <c r="T374" i="5"/>
  <c r="T35" i="5"/>
  <c r="T348" i="5"/>
  <c r="T797" i="5"/>
  <c r="T709" i="5"/>
  <c r="T663" i="5"/>
  <c r="T473" i="5"/>
  <c r="T444" i="5"/>
  <c r="T762" i="5"/>
  <c r="T636" i="5"/>
  <c r="T647" i="5"/>
  <c r="T856" i="5"/>
  <c r="T667" i="5"/>
  <c r="T563" i="5"/>
  <c r="T273" i="5"/>
  <c r="T125" i="5"/>
  <c r="T300" i="5"/>
  <c r="T333" i="5"/>
  <c r="T218" i="5"/>
  <c r="T19" i="5"/>
  <c r="T76" i="5"/>
  <c r="T174" i="5"/>
  <c r="T219" i="5"/>
  <c r="T229" i="5"/>
  <c r="T128" i="5"/>
  <c r="T301" i="5"/>
  <c r="T205" i="5"/>
  <c r="T165" i="5"/>
  <c r="T156" i="5"/>
  <c r="T327" i="5"/>
  <c r="T238" i="5"/>
  <c r="T314" i="5"/>
  <c r="T245" i="5"/>
  <c r="T24" i="5"/>
  <c r="T181" i="5"/>
  <c r="T98" i="5"/>
  <c r="T244" i="5"/>
  <c r="T111" i="5"/>
  <c r="T30" i="5"/>
  <c r="T6" i="5"/>
  <c r="T266" i="5"/>
  <c r="T85" i="5"/>
  <c r="T329" i="5"/>
  <c r="T56" i="5"/>
  <c r="T298" i="5"/>
  <c r="T278" i="5"/>
  <c r="T92" i="5"/>
  <c r="T68" i="5"/>
  <c r="T255" i="5"/>
  <c r="T311" i="5"/>
  <c r="T118" i="5"/>
  <c r="T226" i="5"/>
  <c r="T15" i="5"/>
  <c r="T45" i="5"/>
  <c r="T167" i="5"/>
  <c r="T88" i="5"/>
  <c r="T12" i="5"/>
  <c r="T294" i="5"/>
  <c r="T343" i="5"/>
  <c r="T199" i="5"/>
  <c r="T330" i="5"/>
  <c r="T152" i="5"/>
  <c r="T292" i="5"/>
  <c r="T267" i="5"/>
  <c r="T308" i="5"/>
  <c r="T127" i="5"/>
  <c r="T104" i="5"/>
  <c r="T103" i="5"/>
  <c r="T33" i="5"/>
  <c r="T228" i="5"/>
  <c r="T164" i="5"/>
  <c r="T161" i="5"/>
  <c r="T210" i="5"/>
  <c r="T80" i="5"/>
  <c r="T141" i="5"/>
  <c r="T71" i="5"/>
  <c r="T321" i="5"/>
  <c r="T44" i="5"/>
  <c r="T171" i="5"/>
  <c r="T49" i="5"/>
  <c r="T326" i="5"/>
  <c r="T46" i="5"/>
  <c r="T256" i="5"/>
  <c r="T254" i="5"/>
  <c r="T215" i="5"/>
  <c r="T11" i="5"/>
  <c r="T264" i="5"/>
  <c r="T81" i="5"/>
  <c r="T47" i="5"/>
  <c r="T305" i="5"/>
  <c r="T247" i="5"/>
  <c r="T221" i="5"/>
  <c r="T58" i="5"/>
  <c r="T331" i="5"/>
  <c r="T190" i="5"/>
  <c r="T138" i="5"/>
  <c r="T140" i="5"/>
  <c r="T259" i="5"/>
  <c r="T208" i="5"/>
  <c r="T117" i="5"/>
  <c r="T145" i="5"/>
  <c r="T10" i="5"/>
  <c r="T297" i="5"/>
  <c r="T179" i="5"/>
  <c r="T313" i="5"/>
  <c r="T282" i="5"/>
  <c r="T73" i="5"/>
  <c r="T175" i="5"/>
  <c r="T20" i="5"/>
  <c r="T277" i="5"/>
  <c r="T139" i="5"/>
  <c r="T200" i="5"/>
  <c r="T231" i="5"/>
  <c r="T78" i="5"/>
  <c r="T233" i="5"/>
  <c r="T126" i="5"/>
  <c r="T177" i="5"/>
  <c r="T337" i="5"/>
  <c r="T168" i="5"/>
  <c r="T268" i="5"/>
  <c r="T270" i="5"/>
  <c r="T135" i="5"/>
  <c r="T225" i="5"/>
  <c r="T285" i="5"/>
  <c r="T123" i="5"/>
  <c r="T172" i="5"/>
  <c r="T119" i="5"/>
  <c r="T22" i="5"/>
  <c r="T318" i="5"/>
  <c r="T84" i="5"/>
  <c r="T154" i="5"/>
  <c r="T206" i="5"/>
  <c r="T246" i="5"/>
  <c r="T79" i="5"/>
  <c r="T290" i="5"/>
  <c r="T144" i="5"/>
  <c r="T113" i="5"/>
  <c r="T106" i="5"/>
  <c r="T262" i="5"/>
  <c r="T257" i="5"/>
  <c r="T110" i="5"/>
  <c r="T291" i="5"/>
  <c r="T213" i="5"/>
  <c r="T82" i="5"/>
  <c r="T224" i="5"/>
  <c r="T158" i="5"/>
  <c r="T143" i="5"/>
  <c r="T23" i="5"/>
  <c r="T272" i="5"/>
  <c r="T346" i="5"/>
  <c r="T7" i="5"/>
  <c r="T336" i="5"/>
  <c r="T109" i="5"/>
  <c r="T214" i="5"/>
  <c r="T116" i="5"/>
  <c r="T197" i="5"/>
  <c r="T39" i="5"/>
  <c r="T51" i="5"/>
  <c r="T335" i="5"/>
  <c r="T72" i="5"/>
  <c r="T324" i="5"/>
  <c r="T69" i="5"/>
  <c r="T322" i="5"/>
  <c r="T237" i="5"/>
  <c r="T21" i="5"/>
  <c r="T121" i="5"/>
  <c r="T112" i="5"/>
  <c r="T328" i="5"/>
  <c r="T160" i="5"/>
  <c r="T63" i="5"/>
  <c r="T209" i="5"/>
  <c r="T60" i="5"/>
  <c r="T151" i="5"/>
  <c r="T115" i="5"/>
  <c r="T87" i="5"/>
  <c r="T14" i="5"/>
  <c r="T310" i="5"/>
  <c r="T65" i="5"/>
  <c r="T204" i="5"/>
  <c r="T342" i="5"/>
  <c r="T93" i="5"/>
  <c r="T147" i="5"/>
  <c r="T260" i="5"/>
  <c r="T13" i="5"/>
  <c r="T91" i="5"/>
  <c r="T86" i="5"/>
  <c r="T70" i="5"/>
  <c r="T240" i="5"/>
  <c r="T323" i="5"/>
  <c r="T220" i="5"/>
  <c r="T64" i="5"/>
  <c r="T345" i="5"/>
  <c r="T315" i="5"/>
  <c r="T217" i="5"/>
  <c r="T183" i="5"/>
  <c r="T182" i="5"/>
  <c r="T198" i="5"/>
  <c r="T18" i="5"/>
  <c r="T276" i="5"/>
  <c r="T288" i="5"/>
  <c r="T227" i="5"/>
  <c r="T189" i="5"/>
  <c r="T67" i="5"/>
  <c r="T114" i="5"/>
  <c r="T317" i="5"/>
  <c r="T28" i="5"/>
  <c r="T8" i="5"/>
  <c r="T223" i="5"/>
  <c r="T325" i="5"/>
  <c r="T241" i="5"/>
  <c r="T309" i="5"/>
  <c r="T122" i="5"/>
  <c r="T146" i="5"/>
  <c r="T89" i="5"/>
  <c r="T54" i="5"/>
  <c r="T302" i="5"/>
  <c r="T186" i="5"/>
  <c r="T261" i="5"/>
  <c r="T187" i="5"/>
  <c r="T5" i="5"/>
  <c r="T284" i="5"/>
  <c r="T271" i="5"/>
  <c r="T251" i="5"/>
  <c r="T131" i="5"/>
  <c r="T153" i="5"/>
  <c r="T178" i="5"/>
  <c r="T283" i="5"/>
  <c r="T149" i="5"/>
  <c r="T347" i="5"/>
  <c r="T83" i="5"/>
  <c r="T338" i="5"/>
  <c r="T316" i="5"/>
  <c r="T334" i="5"/>
  <c r="T287" i="5"/>
  <c r="T176" i="5"/>
  <c r="T166" i="5"/>
  <c r="T157" i="5"/>
  <c r="T27" i="5"/>
  <c r="T274" i="5"/>
  <c r="T263" i="5"/>
  <c r="T75" i="5"/>
  <c r="T99" i="5"/>
  <c r="T332" i="5"/>
  <c r="T55" i="5"/>
  <c r="T281" i="5"/>
  <c r="T48" i="5"/>
  <c r="T193" i="5"/>
  <c r="T265" i="5"/>
  <c r="T94" i="5"/>
  <c r="T184" i="5"/>
  <c r="T41" i="5"/>
  <c r="T235" i="5"/>
  <c r="T299" i="5"/>
  <c r="T26" i="5"/>
  <c r="T77" i="5"/>
  <c r="T289" i="5"/>
  <c r="T202" i="5"/>
  <c r="T192" i="5"/>
  <c r="T62" i="5"/>
  <c r="T120" i="5"/>
  <c r="T242" i="5"/>
  <c r="T248" i="5"/>
  <c r="T180" i="5"/>
  <c r="T275" i="5"/>
  <c r="T201" i="5"/>
  <c r="T17" i="5"/>
  <c r="T159" i="5"/>
  <c r="T185" i="5"/>
  <c r="T236" i="5"/>
  <c r="T74" i="5"/>
  <c r="T279" i="5"/>
  <c r="T170" i="5"/>
  <c r="T196" i="5"/>
  <c r="T53" i="5"/>
  <c r="T320" i="5"/>
  <c r="T107" i="5"/>
  <c r="T101" i="5"/>
  <c r="T319" i="5"/>
  <c r="T252" i="5"/>
  <c r="T173" i="5"/>
  <c r="T124" i="5"/>
  <c r="T100" i="5"/>
  <c r="T31" i="5"/>
  <c r="T191" i="5"/>
  <c r="T253" i="5"/>
  <c r="T307" i="5"/>
  <c r="T90" i="5"/>
  <c r="T61" i="5"/>
  <c r="T42" i="5"/>
  <c r="T57" i="5"/>
  <c r="T169" i="5"/>
  <c r="T269" i="5"/>
  <c r="T194" i="5"/>
  <c r="T312" i="5"/>
  <c r="T306" i="5"/>
  <c r="T341" i="5"/>
  <c r="T203" i="5"/>
  <c r="T148" i="5"/>
  <c r="T150" i="5"/>
  <c r="T155" i="5"/>
  <c r="T340" i="5"/>
  <c r="T36" i="5"/>
  <c r="T105" i="5"/>
  <c r="T344" i="5"/>
  <c r="T162" i="5"/>
  <c r="T293" i="5"/>
  <c r="T43" i="5"/>
  <c r="T132" i="5"/>
  <c r="T96" i="5"/>
  <c r="T134" i="5"/>
  <c r="T108" i="5"/>
  <c r="T234" i="5"/>
  <c r="T66" i="5"/>
  <c r="T207" i="5"/>
  <c r="T52" i="5"/>
  <c r="T188" i="5"/>
  <c r="T163" i="5"/>
  <c r="T339" i="5"/>
  <c r="T250" i="5"/>
  <c r="T40" i="5"/>
  <c r="T50" i="5"/>
  <c r="T9" i="5"/>
  <c r="T16" i="5"/>
  <c r="T136" i="5"/>
  <c r="T211" i="5"/>
  <c r="T239" i="5"/>
  <c r="R1816" i="5" l="1"/>
  <c r="R2045" i="5"/>
  <c r="H2045" i="5"/>
  <c r="I2045" i="5"/>
  <c r="J1612" i="5"/>
  <c r="H1612" i="5"/>
  <c r="F1612" i="5"/>
  <c r="R1612" i="5"/>
  <c r="I1612" i="5"/>
  <c r="I1720" i="5"/>
  <c r="F1720" i="5"/>
  <c r="H1720" i="5"/>
  <c r="J1720" i="5"/>
  <c r="I1948" i="5"/>
  <c r="J1948" i="5"/>
  <c r="F1948" i="5"/>
  <c r="E2068" i="5"/>
  <c r="X2068" i="5" s="1"/>
  <c r="J2068" i="5"/>
  <c r="H2068" i="5"/>
  <c r="R2068" i="5"/>
  <c r="F2068" i="5"/>
  <c r="I2068" i="5"/>
  <c r="J2224" i="5"/>
  <c r="H2224" i="5"/>
  <c r="H2356" i="5"/>
  <c r="I2356" i="5"/>
  <c r="J2356" i="5"/>
  <c r="F2356" i="5"/>
  <c r="R2356" i="5"/>
  <c r="E2356" i="5"/>
  <c r="X2356" i="5" s="1"/>
  <c r="G1816" i="5"/>
  <c r="G1936" i="5"/>
  <c r="G1257" i="5"/>
  <c r="E2032" i="5"/>
  <c r="X2032" i="5" s="1"/>
  <c r="E1470" i="5"/>
  <c r="X1470" i="5" s="1"/>
  <c r="F1470" i="5"/>
  <c r="H1470" i="5"/>
  <c r="R1470" i="5"/>
  <c r="J1470" i="5"/>
  <c r="I1470" i="5"/>
  <c r="E1445" i="5"/>
  <c r="X1445" i="5" s="1"/>
  <c r="H1445" i="5"/>
  <c r="J1445" i="5"/>
  <c r="I1445" i="5"/>
  <c r="F1445" i="5"/>
  <c r="R1445" i="5"/>
  <c r="E2069" i="5"/>
  <c r="X2069" i="5" s="1"/>
  <c r="I2069" i="5"/>
  <c r="R2069" i="5"/>
  <c r="H2069" i="5"/>
  <c r="E1561" i="5"/>
  <c r="X1561" i="5" s="1"/>
  <c r="H1561" i="5"/>
  <c r="R1561" i="5"/>
  <c r="J1561" i="5"/>
  <c r="R2188" i="5"/>
  <c r="I2188" i="5"/>
  <c r="H2188" i="5"/>
  <c r="F2188" i="5"/>
  <c r="I1756" i="5"/>
  <c r="R1756" i="5"/>
  <c r="H1756" i="5"/>
  <c r="F1756" i="5"/>
  <c r="E2488" i="5"/>
  <c r="X2488" i="5" s="1"/>
  <c r="J2488" i="5"/>
  <c r="R2488" i="5"/>
  <c r="F2488" i="5"/>
  <c r="E1816" i="5"/>
  <c r="X1816" i="5" s="1"/>
  <c r="G1845" i="5"/>
  <c r="G68" i="6"/>
  <c r="H1828" i="5"/>
  <c r="I2032" i="5"/>
  <c r="G1293" i="5"/>
  <c r="R1336" i="5"/>
  <c r="I2488" i="5"/>
  <c r="R2224" i="5"/>
  <c r="G2122" i="5"/>
  <c r="E2269" i="5"/>
  <c r="X2269" i="5" s="1"/>
  <c r="H2269" i="5"/>
  <c r="R2269" i="5"/>
  <c r="I2269" i="5"/>
  <c r="F2269" i="5"/>
  <c r="J2269" i="5"/>
  <c r="H1564" i="5"/>
  <c r="F1564" i="5"/>
  <c r="R1564" i="5"/>
  <c r="J1564" i="5"/>
  <c r="I1564" i="5"/>
  <c r="J1420" i="5"/>
  <c r="H1420" i="5"/>
  <c r="F1420" i="5"/>
  <c r="R1420" i="5"/>
  <c r="I1420" i="5"/>
  <c r="G2068" i="5"/>
  <c r="F2032" i="5"/>
  <c r="R2110" i="5"/>
  <c r="E1806" i="5"/>
  <c r="X1806" i="5" s="1"/>
  <c r="F1806" i="5"/>
  <c r="H1806" i="5"/>
  <c r="J1806" i="5"/>
  <c r="R1806" i="5"/>
  <c r="I1806" i="5"/>
  <c r="R1933" i="5"/>
  <c r="I1933" i="5"/>
  <c r="R1636" i="5"/>
  <c r="F1636" i="5"/>
  <c r="J1636" i="5"/>
  <c r="I1636" i="5"/>
  <c r="E1732" i="5"/>
  <c r="X1732" i="5" s="1"/>
  <c r="J1336" i="5"/>
  <c r="I1529" i="5"/>
  <c r="J1529" i="5"/>
  <c r="R1529" i="5"/>
  <c r="H1529" i="5"/>
  <c r="E2117" i="5"/>
  <c r="X2117" i="5" s="1"/>
  <c r="F2117" i="5"/>
  <c r="R2117" i="5"/>
  <c r="I2117" i="5"/>
  <c r="H2117" i="5"/>
  <c r="J2117" i="5"/>
  <c r="R2473" i="5"/>
  <c r="G2473" i="5"/>
  <c r="I2473" i="5"/>
  <c r="H2473" i="5"/>
  <c r="F2473" i="5"/>
  <c r="E2404" i="5"/>
  <c r="X2404" i="5" s="1"/>
  <c r="H2404" i="5"/>
  <c r="J2404" i="5"/>
  <c r="F2404" i="5"/>
  <c r="R2404" i="5"/>
  <c r="F1432" i="5"/>
  <c r="J1432" i="5"/>
  <c r="H1432" i="5"/>
  <c r="I1432" i="5"/>
  <c r="R1432" i="5"/>
  <c r="F1672" i="5"/>
  <c r="I1672" i="5"/>
  <c r="J1672" i="5"/>
  <c r="H1672" i="5"/>
  <c r="R1672" i="5"/>
  <c r="J1768" i="5"/>
  <c r="R1768" i="5"/>
  <c r="H1768" i="5"/>
  <c r="F1768" i="5"/>
  <c r="I1768" i="5"/>
  <c r="R2392" i="5"/>
  <c r="I2392" i="5"/>
  <c r="E2149" i="5"/>
  <c r="X2149" i="5" s="1"/>
  <c r="F2149" i="5"/>
  <c r="R2149" i="5"/>
  <c r="J2149" i="5"/>
  <c r="H2149" i="5"/>
  <c r="I2149" i="5"/>
  <c r="H2080" i="5"/>
  <c r="R2080" i="5"/>
  <c r="I2080" i="5"/>
  <c r="J2080" i="5"/>
  <c r="F2080" i="5"/>
  <c r="F1240" i="5"/>
  <c r="H2122" i="5"/>
  <c r="G2224" i="5"/>
  <c r="E1636" i="5"/>
  <c r="X1636" i="5" s="1"/>
  <c r="J2473" i="5"/>
  <c r="G1920" i="5"/>
  <c r="R1543" i="5"/>
  <c r="J2194" i="5"/>
  <c r="J1240" i="5"/>
  <c r="E2392" i="5"/>
  <c r="X2392" i="5" s="1"/>
  <c r="R1549" i="5"/>
  <c r="G1828" i="5"/>
  <c r="R1720" i="5"/>
  <c r="G2032" i="5"/>
  <c r="H1336" i="5"/>
  <c r="F1816" i="5"/>
  <c r="I1633" i="5"/>
  <c r="F1633" i="5"/>
  <c r="J1633" i="5"/>
  <c r="R1633" i="5"/>
  <c r="H1957" i="5"/>
  <c r="G1957" i="5"/>
  <c r="I1684" i="5"/>
  <c r="J1684" i="5"/>
  <c r="H1684" i="5"/>
  <c r="H1972" i="5"/>
  <c r="E1972" i="5"/>
  <c r="X1972" i="5" s="1"/>
  <c r="J1972" i="5"/>
  <c r="F1972" i="5"/>
  <c r="H2296" i="5"/>
  <c r="R2296" i="5"/>
  <c r="J2296" i="5"/>
  <c r="I2296" i="5"/>
  <c r="F2296" i="5"/>
  <c r="J2428" i="5"/>
  <c r="R2428" i="5"/>
  <c r="H2428" i="5"/>
  <c r="F2428" i="5"/>
  <c r="I2428" i="5"/>
  <c r="E2100" i="5"/>
  <c r="X2100" i="5" s="1"/>
  <c r="I2100" i="5"/>
  <c r="F2100" i="5"/>
  <c r="J2100" i="5"/>
  <c r="H2100" i="5"/>
  <c r="R2100" i="5"/>
  <c r="G2284" i="5"/>
  <c r="J2284" i="5"/>
  <c r="E2284" i="5"/>
  <c r="X2284" i="5" s="1"/>
  <c r="I2284" i="5"/>
  <c r="R2284" i="5"/>
  <c r="H2284" i="5"/>
  <c r="F2284" i="5"/>
  <c r="G1672" i="5"/>
  <c r="R2122" i="5"/>
  <c r="E2224" i="5"/>
  <c r="X2224" i="5" s="1"/>
  <c r="E2473" i="5"/>
  <c r="X2473" i="5" s="1"/>
  <c r="E1543" i="5"/>
  <c r="X1543" i="5" s="1"/>
  <c r="H2194" i="5"/>
  <c r="J2069" i="5"/>
  <c r="I1240" i="5"/>
  <c r="I1549" i="5"/>
  <c r="F1828" i="5"/>
  <c r="H1816" i="5"/>
  <c r="J1236" i="5"/>
  <c r="H1236" i="5"/>
  <c r="I1236" i="5"/>
  <c r="F1565" i="5"/>
  <c r="R1565" i="5"/>
  <c r="J1565" i="5"/>
  <c r="H1565" i="5"/>
  <c r="I1876" i="5"/>
  <c r="H1876" i="5"/>
  <c r="J1876" i="5"/>
  <c r="F1876" i="5"/>
  <c r="E1876" i="5"/>
  <c r="X1876" i="5" s="1"/>
  <c r="R1876" i="5"/>
  <c r="H1468" i="5"/>
  <c r="J1468" i="5"/>
  <c r="F1468" i="5"/>
  <c r="I1780" i="5"/>
  <c r="H1780" i="5"/>
  <c r="F1780" i="5"/>
  <c r="J1780" i="5"/>
  <c r="R1780" i="5"/>
  <c r="H1936" i="5"/>
  <c r="R1936" i="5"/>
  <c r="I1936" i="5"/>
  <c r="J1936" i="5"/>
  <c r="F1936" i="5"/>
  <c r="E1174" i="5"/>
  <c r="X1174" i="5" s="1"/>
  <c r="I1174" i="5"/>
  <c r="F1174" i="5"/>
  <c r="R1174" i="5"/>
  <c r="H1174" i="5"/>
  <c r="J1174" i="5"/>
  <c r="H2032" i="5"/>
  <c r="E1672" i="5"/>
  <c r="X1672" i="5" s="1"/>
  <c r="H2273" i="5"/>
  <c r="H1465" i="5"/>
  <c r="J2495" i="5"/>
  <c r="F2069" i="5"/>
  <c r="H1240" i="5"/>
  <c r="F1549" i="5"/>
  <c r="J2122" i="5"/>
  <c r="J1816" i="5"/>
  <c r="J2368" i="5"/>
  <c r="E1189" i="5"/>
  <c r="X1189" i="5" s="1"/>
  <c r="I1189" i="5"/>
  <c r="I1969" i="5"/>
  <c r="R1969" i="5"/>
  <c r="F1969" i="5"/>
  <c r="J1372" i="5"/>
  <c r="F1372" i="5"/>
  <c r="R1372" i="5"/>
  <c r="I1372" i="5"/>
  <c r="I2236" i="5"/>
  <c r="R2236" i="5"/>
  <c r="F2236" i="5"/>
  <c r="H2236" i="5"/>
  <c r="J2236" i="5"/>
  <c r="I1576" i="5"/>
  <c r="F1576" i="5"/>
  <c r="R1576" i="5"/>
  <c r="J1576" i="5"/>
  <c r="H1576" i="5"/>
  <c r="J1480" i="5"/>
  <c r="I1480" i="5"/>
  <c r="R1480" i="5"/>
  <c r="H1480" i="5"/>
  <c r="F1480" i="5"/>
  <c r="G1900" i="5"/>
  <c r="E1900" i="5"/>
  <c r="X1900" i="5" s="1"/>
  <c r="H1900" i="5"/>
  <c r="I1900" i="5"/>
  <c r="R1900" i="5"/>
  <c r="J1900" i="5"/>
  <c r="F1900" i="5"/>
  <c r="G2440" i="5"/>
  <c r="I2440" i="5"/>
  <c r="F2440" i="5"/>
  <c r="J2440" i="5"/>
  <c r="H2440" i="5"/>
  <c r="R2440" i="5"/>
  <c r="E1837" i="5"/>
  <c r="X1837" i="5" s="1"/>
  <c r="R1837" i="5"/>
  <c r="H1837" i="5"/>
  <c r="F1837" i="5"/>
  <c r="I1837" i="5"/>
  <c r="F1732" i="5"/>
  <c r="I1732" i="5"/>
  <c r="H1732" i="5"/>
  <c r="J1732" i="5"/>
  <c r="R1732" i="5"/>
  <c r="G1549" i="5"/>
  <c r="E1585" i="5"/>
  <c r="X1585" i="5" s="1"/>
  <c r="I1585" i="5"/>
  <c r="R1585" i="5"/>
  <c r="H1585" i="5"/>
  <c r="F1585" i="5"/>
  <c r="G1585" i="5"/>
  <c r="J1585" i="5"/>
  <c r="G1636" i="5"/>
  <c r="G2080" i="5"/>
  <c r="I2273" i="5"/>
  <c r="I1965" i="5"/>
  <c r="I1465" i="5"/>
  <c r="F1561" i="5"/>
  <c r="H1751" i="5"/>
  <c r="H2495" i="5"/>
  <c r="F1933" i="5"/>
  <c r="H1315" i="5"/>
  <c r="G2069" i="5"/>
  <c r="G1240" i="5"/>
  <c r="J1549" i="5"/>
  <c r="J2045" i="5"/>
  <c r="E2122" i="5"/>
  <c r="X2122" i="5" s="1"/>
  <c r="G2350" i="5"/>
  <c r="R2032" i="5"/>
  <c r="E1536" i="5"/>
  <c r="X1536" i="5" s="1"/>
  <c r="J1536" i="5"/>
  <c r="H1536" i="5"/>
  <c r="I1536" i="5"/>
  <c r="F1536" i="5"/>
  <c r="R1536" i="5"/>
  <c r="E2477" i="5"/>
  <c r="X2477" i="5" s="1"/>
  <c r="F2477" i="5"/>
  <c r="G2477" i="5"/>
  <c r="I2477" i="5"/>
  <c r="H2477" i="5"/>
  <c r="H1312" i="5"/>
  <c r="I1312" i="5"/>
  <c r="J1312" i="5"/>
  <c r="R1312" i="5"/>
  <c r="F1312" i="5"/>
  <c r="R1696" i="5"/>
  <c r="F1696" i="5"/>
  <c r="J1696" i="5"/>
  <c r="H1696" i="5"/>
  <c r="I1696" i="5"/>
  <c r="G2116" i="5"/>
  <c r="H2116" i="5"/>
  <c r="I2116" i="5"/>
  <c r="J2116" i="5"/>
  <c r="E2116" i="5"/>
  <c r="X2116" i="5" s="1"/>
  <c r="R2116" i="5"/>
  <c r="F2116" i="5"/>
  <c r="R1240" i="5"/>
  <c r="E2080" i="5"/>
  <c r="X2080" i="5" s="1"/>
  <c r="G1965" i="5"/>
  <c r="I1561" i="5"/>
  <c r="R2495" i="5"/>
  <c r="E1933" i="5"/>
  <c r="X1933" i="5" s="1"/>
  <c r="I1315" i="5"/>
  <c r="E1549" i="5"/>
  <c r="X1549" i="5" s="1"/>
  <c r="F2045" i="5"/>
  <c r="E1948" i="5"/>
  <c r="X1948" i="5" s="1"/>
  <c r="I2404" i="5"/>
  <c r="I2224" i="5"/>
  <c r="E1477" i="5"/>
  <c r="X1477" i="5" s="1"/>
  <c r="F1477" i="5"/>
  <c r="I1477" i="5"/>
  <c r="R1477" i="5"/>
  <c r="J1477" i="5"/>
  <c r="H1477" i="5"/>
  <c r="H1813" i="5"/>
  <c r="I1813" i="5"/>
  <c r="R2005" i="5"/>
  <c r="I2005" i="5"/>
  <c r="G2005" i="5"/>
  <c r="H2005" i="5"/>
  <c r="J2005" i="5"/>
  <c r="J1708" i="5"/>
  <c r="I1708" i="5"/>
  <c r="F1336" i="5"/>
  <c r="G1336" i="5"/>
  <c r="G2368" i="5"/>
  <c r="G1768" i="5"/>
  <c r="R1541" i="5"/>
  <c r="F2495" i="5"/>
  <c r="H1933" i="5"/>
  <c r="R1217" i="5"/>
  <c r="H2392" i="5"/>
  <c r="J1583" i="5"/>
  <c r="E2045" i="5"/>
  <c r="X2045" i="5" s="1"/>
  <c r="J1828" i="5"/>
  <c r="I2122" i="5"/>
  <c r="G1948" i="5"/>
  <c r="G1756" i="5"/>
  <c r="G1720" i="5"/>
  <c r="G1612" i="5"/>
  <c r="G2495" i="5"/>
  <c r="G2404" i="5"/>
  <c r="J1837" i="5"/>
  <c r="F2224" i="5"/>
  <c r="G2100" i="5"/>
  <c r="H1313" i="5"/>
  <c r="R1313" i="5"/>
  <c r="I1313" i="5"/>
  <c r="E2021" i="5"/>
  <c r="X2021" i="5" s="1"/>
  <c r="I2021" i="5"/>
  <c r="H2021" i="5"/>
  <c r="G2149" i="5"/>
  <c r="I1228" i="5"/>
  <c r="J1228" i="5"/>
  <c r="H1228" i="5"/>
  <c r="R1228" i="5"/>
  <c r="F1228" i="5"/>
  <c r="G2212" i="5"/>
  <c r="R2212" i="5"/>
  <c r="H2212" i="5"/>
  <c r="J2212" i="5"/>
  <c r="I2212" i="5"/>
  <c r="F2212" i="5"/>
  <c r="F1483" i="5"/>
  <c r="I1483" i="5"/>
  <c r="J1483" i="5"/>
  <c r="H1483" i="5"/>
  <c r="R1483" i="5"/>
  <c r="J1265" i="5"/>
  <c r="H1265" i="5"/>
  <c r="R1265" i="5"/>
  <c r="I1265" i="5"/>
  <c r="E2333" i="5"/>
  <c r="X2333" i="5" s="1"/>
  <c r="H2333" i="5"/>
  <c r="I2333" i="5"/>
  <c r="J2333" i="5"/>
  <c r="R2333" i="5"/>
  <c r="F2333" i="5"/>
  <c r="G1735" i="5"/>
  <c r="E1735" i="5"/>
  <c r="X1735" i="5" s="1"/>
  <c r="R1735" i="5"/>
  <c r="J1735" i="5"/>
  <c r="I1735" i="5"/>
  <c r="H1735" i="5"/>
  <c r="F1735" i="5"/>
  <c r="R1377" i="5"/>
  <c r="H2453" i="5"/>
  <c r="F2453" i="5"/>
  <c r="I2453" i="5"/>
  <c r="E1918" i="5"/>
  <c r="X1918" i="5" s="1"/>
  <c r="H1918" i="5"/>
  <c r="I1918" i="5"/>
  <c r="R1918" i="5"/>
  <c r="J1918" i="5"/>
  <c r="F1918" i="5"/>
  <c r="I2255" i="5"/>
  <c r="H2255" i="5"/>
  <c r="J2255" i="5"/>
  <c r="F1315" i="5"/>
  <c r="J1315" i="5"/>
  <c r="R1315" i="5"/>
  <c r="E1963" i="5"/>
  <c r="X1963" i="5" s="1"/>
  <c r="J1963" i="5"/>
  <c r="H1963" i="5"/>
  <c r="I1963" i="5"/>
  <c r="F1963" i="5"/>
  <c r="R1963" i="5"/>
  <c r="E2047" i="5"/>
  <c r="X2047" i="5" s="1"/>
  <c r="J2047" i="5"/>
  <c r="H2047" i="5"/>
  <c r="R2047" i="5"/>
  <c r="F2047" i="5"/>
  <c r="I2047" i="5"/>
  <c r="H1399" i="5"/>
  <c r="E1399" i="5"/>
  <c r="X1399" i="5" s="1"/>
  <c r="F1399" i="5"/>
  <c r="R1399" i="5"/>
  <c r="J1399" i="5"/>
  <c r="I1399" i="5"/>
  <c r="E1377" i="5"/>
  <c r="X1377" i="5" s="1"/>
  <c r="E2456" i="5"/>
  <c r="X2456" i="5" s="1"/>
  <c r="H2456" i="5"/>
  <c r="F2456" i="5"/>
  <c r="I2456" i="5"/>
  <c r="J2456" i="5"/>
  <c r="R2456" i="5"/>
  <c r="F1366" i="5"/>
  <c r="R1366" i="5"/>
  <c r="J1366" i="5"/>
  <c r="I1366" i="5"/>
  <c r="G1377" i="5"/>
  <c r="F1906" i="5"/>
  <c r="E1325" i="5"/>
  <c r="X1325" i="5" s="1"/>
  <c r="I1325" i="5"/>
  <c r="J1325" i="5"/>
  <c r="F1325" i="5"/>
  <c r="R1325" i="5"/>
  <c r="H1325" i="5"/>
  <c r="H2381" i="5"/>
  <c r="E2381" i="5"/>
  <c r="X2381" i="5" s="1"/>
  <c r="R2381" i="5"/>
  <c r="J2381" i="5"/>
  <c r="F2381" i="5"/>
  <c r="I2381" i="5"/>
  <c r="E2275" i="5"/>
  <c r="X2275" i="5" s="1"/>
  <c r="R2275" i="5"/>
  <c r="J2275" i="5"/>
  <c r="I2275" i="5"/>
  <c r="H2275" i="5"/>
  <c r="F2275" i="5"/>
  <c r="G2275" i="5"/>
  <c r="E1423" i="5"/>
  <c r="X1423" i="5" s="1"/>
  <c r="H1423" i="5"/>
  <c r="F1423" i="5"/>
  <c r="I1423" i="5"/>
  <c r="R1423" i="5"/>
  <c r="J1423" i="5"/>
  <c r="I1771" i="5"/>
  <c r="E1771" i="5"/>
  <c r="X1771" i="5" s="1"/>
  <c r="F1771" i="5"/>
  <c r="H1771" i="5"/>
  <c r="R1771" i="5"/>
  <c r="J1771" i="5"/>
  <c r="H1246" i="5"/>
  <c r="I1246" i="5"/>
  <c r="G1366" i="5"/>
  <c r="E1483" i="5"/>
  <c r="X1483" i="5" s="1"/>
  <c r="E1906" i="5"/>
  <c r="X1906" i="5" s="1"/>
  <c r="J2268" i="5"/>
  <c r="F2268" i="5"/>
  <c r="H2268" i="5"/>
  <c r="R2268" i="5"/>
  <c r="E1901" i="5"/>
  <c r="X1901" i="5" s="1"/>
  <c r="R1901" i="5"/>
  <c r="I1901" i="5"/>
  <c r="J1901" i="5"/>
  <c r="F1901" i="5"/>
  <c r="H1901" i="5"/>
  <c r="E1570" i="5"/>
  <c r="X1570" i="5" s="1"/>
  <c r="F1570" i="5"/>
  <c r="R1570" i="5"/>
  <c r="J1570" i="5"/>
  <c r="I1570" i="5"/>
  <c r="H1570" i="5"/>
  <c r="E2098" i="5"/>
  <c r="X2098" i="5" s="1"/>
  <c r="F2098" i="5"/>
  <c r="H2098" i="5"/>
  <c r="R2098" i="5"/>
  <c r="I2098" i="5"/>
  <c r="J2098" i="5"/>
  <c r="F2267" i="5"/>
  <c r="E2267" i="5"/>
  <c r="X2267" i="5" s="1"/>
  <c r="J2267" i="5"/>
  <c r="I2267" i="5"/>
  <c r="R2267" i="5"/>
  <c r="H2267" i="5"/>
  <c r="E2371" i="5"/>
  <c r="X2371" i="5" s="1"/>
  <c r="H2371" i="5"/>
  <c r="F2371" i="5"/>
  <c r="J2371" i="5"/>
  <c r="R2371" i="5"/>
  <c r="I2371" i="5"/>
  <c r="G1423" i="5"/>
  <c r="E1507" i="5"/>
  <c r="X1507" i="5" s="1"/>
  <c r="I1507" i="5"/>
  <c r="H1507" i="5"/>
  <c r="F1507" i="5"/>
  <c r="R1507" i="5"/>
  <c r="J1507" i="5"/>
  <c r="E1819" i="5"/>
  <c r="X1819" i="5" s="1"/>
  <c r="F1819" i="5"/>
  <c r="I1819" i="5"/>
  <c r="H1819" i="5"/>
  <c r="G1819" i="5"/>
  <c r="R1819" i="5"/>
  <c r="J1819" i="5"/>
  <c r="G65" i="6"/>
  <c r="H65" i="6" s="1"/>
  <c r="D65" i="6" s="1"/>
  <c r="G1906" i="5"/>
  <c r="H1377" i="5"/>
  <c r="I1906" i="5"/>
  <c r="J2110" i="5"/>
  <c r="F2110" i="5"/>
  <c r="I2110" i="5"/>
  <c r="H2110" i="5"/>
  <c r="E2455" i="5"/>
  <c r="X2455" i="5" s="1"/>
  <c r="F2455" i="5"/>
  <c r="R2455" i="5"/>
  <c r="H2455" i="5"/>
  <c r="J2455" i="5"/>
  <c r="I2455" i="5"/>
  <c r="F1939" i="5"/>
  <c r="H1939" i="5"/>
  <c r="J1531" i="5"/>
  <c r="F1531" i="5"/>
  <c r="I1531" i="5"/>
  <c r="H1531" i="5"/>
  <c r="R1531" i="5"/>
  <c r="E1531" i="5"/>
  <c r="X1531" i="5" s="1"/>
  <c r="E1639" i="5"/>
  <c r="X1639" i="5" s="1"/>
  <c r="J1639" i="5"/>
  <c r="I1639" i="5"/>
  <c r="H1639" i="5"/>
  <c r="R1639" i="5"/>
  <c r="F1639" i="5"/>
  <c r="E2095" i="5"/>
  <c r="X2095" i="5" s="1"/>
  <c r="H2095" i="5"/>
  <c r="F2095" i="5"/>
  <c r="I2095" i="5"/>
  <c r="R2095" i="5"/>
  <c r="J2095" i="5"/>
  <c r="G2455" i="5"/>
  <c r="E2035" i="5"/>
  <c r="X2035" i="5" s="1"/>
  <c r="J2035" i="5"/>
  <c r="F2035" i="5"/>
  <c r="R2035" i="5"/>
  <c r="H2035" i="5"/>
  <c r="I2035" i="5"/>
  <c r="J1246" i="5"/>
  <c r="H1169" i="5"/>
  <c r="F1246" i="5"/>
  <c r="R1906" i="5"/>
  <c r="E2304" i="5"/>
  <c r="X2304" i="5" s="1"/>
  <c r="R2304" i="5"/>
  <c r="H2304" i="5"/>
  <c r="J2304" i="5"/>
  <c r="F2304" i="5"/>
  <c r="I2304" i="5"/>
  <c r="E1604" i="5"/>
  <c r="X1604" i="5" s="1"/>
  <c r="R1604" i="5"/>
  <c r="I1604" i="5"/>
  <c r="J1604" i="5"/>
  <c r="F1604" i="5"/>
  <c r="H1604" i="5"/>
  <c r="E1985" i="5"/>
  <c r="X1985" i="5" s="1"/>
  <c r="J1985" i="5"/>
  <c r="H1985" i="5"/>
  <c r="R1985" i="5"/>
  <c r="I1985" i="5"/>
  <c r="F1985" i="5"/>
  <c r="E1678" i="5"/>
  <c r="X1678" i="5" s="1"/>
  <c r="J1678" i="5"/>
  <c r="I1678" i="5"/>
  <c r="H1678" i="5"/>
  <c r="R1678" i="5"/>
  <c r="F1678" i="5"/>
  <c r="E1211" i="5"/>
  <c r="X1211" i="5" s="1"/>
  <c r="J1211" i="5"/>
  <c r="H1211" i="5"/>
  <c r="R1211" i="5"/>
  <c r="F1211" i="5"/>
  <c r="I1211" i="5"/>
  <c r="E2411" i="5"/>
  <c r="X2411" i="5" s="1"/>
  <c r="I2411" i="5"/>
  <c r="F2411" i="5"/>
  <c r="R2411" i="5"/>
  <c r="H2411" i="5"/>
  <c r="J2411" i="5"/>
  <c r="E1966" i="5"/>
  <c r="X1966" i="5" s="1"/>
  <c r="F1966" i="5"/>
  <c r="H1966" i="5"/>
  <c r="R1966" i="5"/>
  <c r="J1966" i="5"/>
  <c r="I1966" i="5"/>
  <c r="E2111" i="5"/>
  <c r="X2111" i="5" s="1"/>
  <c r="F2111" i="5"/>
  <c r="J2111" i="5"/>
  <c r="I2111" i="5"/>
  <c r="H2111" i="5"/>
  <c r="R2111" i="5"/>
  <c r="E1291" i="5"/>
  <c r="X1291" i="5" s="1"/>
  <c r="I1291" i="5"/>
  <c r="R1291" i="5"/>
  <c r="J1291" i="5"/>
  <c r="F1291" i="5"/>
  <c r="H1291" i="5"/>
  <c r="R1246" i="5"/>
  <c r="H1906" i="5"/>
  <c r="F1171" i="5"/>
  <c r="I1171" i="5"/>
  <c r="H1171" i="5"/>
  <c r="R1171" i="5"/>
  <c r="J1171" i="5"/>
  <c r="E1663" i="5"/>
  <c r="X1663" i="5" s="1"/>
  <c r="H1663" i="5"/>
  <c r="R1663" i="5"/>
  <c r="J1663" i="5"/>
  <c r="I1663" i="5"/>
  <c r="F1663" i="5"/>
  <c r="E1246" i="5"/>
  <c r="X1246" i="5" s="1"/>
  <c r="J1569" i="5"/>
  <c r="R1465" i="5"/>
  <c r="F1465" i="5"/>
  <c r="J1465" i="5"/>
  <c r="E1712" i="5"/>
  <c r="X1712" i="5" s="1"/>
  <c r="J1712" i="5"/>
  <c r="F1712" i="5"/>
  <c r="R1712" i="5"/>
  <c r="I1712" i="5"/>
  <c r="H1712" i="5"/>
  <c r="E1505" i="5"/>
  <c r="X1505" i="5" s="1"/>
  <c r="H1505" i="5"/>
  <c r="F1505" i="5"/>
  <c r="I1505" i="5"/>
  <c r="R1505" i="5"/>
  <c r="J1505" i="5"/>
  <c r="J1997" i="5"/>
  <c r="E1997" i="5"/>
  <c r="X1997" i="5" s="1"/>
  <c r="I1997" i="5"/>
  <c r="R1997" i="5"/>
  <c r="H1997" i="5"/>
  <c r="F1997" i="5"/>
  <c r="J2218" i="5"/>
  <c r="R2218" i="5"/>
  <c r="E1679" i="5"/>
  <c r="X1679" i="5" s="1"/>
  <c r="R1679" i="5"/>
  <c r="F1679" i="5"/>
  <c r="J1679" i="5"/>
  <c r="H1679" i="5"/>
  <c r="I1679" i="5"/>
  <c r="R2447" i="5"/>
  <c r="J2447" i="5"/>
  <c r="H2447" i="5"/>
  <c r="F2447" i="5"/>
  <c r="G1543" i="5"/>
  <c r="E1915" i="5"/>
  <c r="X1915" i="5" s="1"/>
  <c r="R1915" i="5"/>
  <c r="H1915" i="5"/>
  <c r="F1915" i="5"/>
  <c r="J1915" i="5"/>
  <c r="I1915" i="5"/>
  <c r="G66" i="6"/>
  <c r="H66" i="6" s="1"/>
  <c r="D66" i="6" s="1"/>
  <c r="R1569" i="5"/>
  <c r="F1265" i="5"/>
  <c r="E1904" i="5"/>
  <c r="X1904" i="5" s="1"/>
  <c r="G1904" i="5"/>
  <c r="J1904" i="5"/>
  <c r="F1904" i="5"/>
  <c r="R1904" i="5"/>
  <c r="H1904" i="5"/>
  <c r="I1904" i="5"/>
  <c r="G2453" i="5"/>
  <c r="E2107" i="5"/>
  <c r="X2107" i="5" s="1"/>
  <c r="H2107" i="5"/>
  <c r="F2107" i="5"/>
  <c r="R2107" i="5"/>
  <c r="I2107" i="5"/>
  <c r="J2107" i="5"/>
  <c r="I1207" i="5"/>
  <c r="H1207" i="5"/>
  <c r="F1207" i="5"/>
  <c r="E1675" i="5"/>
  <c r="X1675" i="5" s="1"/>
  <c r="I1675" i="5"/>
  <c r="H1675" i="5"/>
  <c r="F1675" i="5"/>
  <c r="R1675" i="5"/>
  <c r="J1675" i="5"/>
  <c r="E2167" i="5"/>
  <c r="X2167" i="5" s="1"/>
  <c r="I2167" i="5"/>
  <c r="H2167" i="5"/>
  <c r="R2167" i="5"/>
  <c r="F2167" i="5"/>
  <c r="J2167" i="5"/>
  <c r="G2371" i="5"/>
  <c r="J1377" i="5"/>
  <c r="F1569" i="5"/>
  <c r="E1265" i="5"/>
  <c r="X1265" i="5" s="1"/>
  <c r="E1894" i="5"/>
  <c r="X1894" i="5" s="1"/>
  <c r="R1894" i="5"/>
  <c r="H1894" i="5"/>
  <c r="I1894" i="5"/>
  <c r="E2230" i="5"/>
  <c r="X2230" i="5" s="1"/>
  <c r="H2230" i="5"/>
  <c r="F2230" i="5"/>
  <c r="I2230" i="5"/>
  <c r="R2230" i="5"/>
  <c r="J2230" i="5"/>
  <c r="E1955" i="5"/>
  <c r="X1955" i="5" s="1"/>
  <c r="J1955" i="5"/>
  <c r="I1955" i="5"/>
  <c r="R1955" i="5"/>
  <c r="H1955" i="5"/>
  <c r="F1955" i="5"/>
  <c r="G1966" i="5"/>
  <c r="G1291" i="5"/>
  <c r="E1471" i="5"/>
  <c r="X1471" i="5" s="1"/>
  <c r="H1471" i="5"/>
  <c r="F1471" i="5"/>
  <c r="I1471" i="5"/>
  <c r="J1471" i="5"/>
  <c r="R1471" i="5"/>
  <c r="G2035" i="5"/>
  <c r="G2167" i="5"/>
  <c r="H1569" i="5"/>
  <c r="G1246" i="5"/>
  <c r="G2111" i="5"/>
  <c r="G1399" i="5"/>
  <c r="G1483" i="5"/>
  <c r="J1579" i="5"/>
  <c r="I1579" i="5"/>
  <c r="H1579" i="5"/>
  <c r="F1579" i="5"/>
  <c r="E1283" i="5"/>
  <c r="X1283" i="5" s="1"/>
  <c r="R1283" i="5"/>
  <c r="J1283" i="5"/>
  <c r="F1283" i="5"/>
  <c r="H1283" i="5"/>
  <c r="I1283" i="5"/>
  <c r="E2345" i="5"/>
  <c r="X2345" i="5" s="1"/>
  <c r="H2345" i="5"/>
  <c r="J2345" i="5"/>
  <c r="R2345" i="5"/>
  <c r="I2345" i="5"/>
  <c r="F2345" i="5"/>
  <c r="E1473" i="5"/>
  <c r="X1473" i="5" s="1"/>
  <c r="J1473" i="5"/>
  <c r="H1473" i="5"/>
  <c r="F1473" i="5"/>
  <c r="I1473" i="5"/>
  <c r="R1473" i="5"/>
  <c r="G67" i="6"/>
  <c r="H67" i="6" s="1"/>
  <c r="D67" i="6" s="1"/>
  <c r="E1541" i="5"/>
  <c r="X1541" i="5" s="1"/>
  <c r="E1217" i="5"/>
  <c r="X1217" i="5" s="1"/>
  <c r="H2289" i="5"/>
  <c r="H2338" i="5"/>
  <c r="G1583" i="5"/>
  <c r="R1973" i="5"/>
  <c r="H1973" i="5"/>
  <c r="E1973" i="5"/>
  <c r="X1973" i="5" s="1"/>
  <c r="J1973" i="5"/>
  <c r="I1973" i="5"/>
  <c r="F1973" i="5"/>
  <c r="E2405" i="5"/>
  <c r="X2405" i="5" s="1"/>
  <c r="G2405" i="5"/>
  <c r="R2405" i="5"/>
  <c r="I2405" i="5"/>
  <c r="H2405" i="5"/>
  <c r="F2405" i="5"/>
  <c r="J2405" i="5"/>
  <c r="E1162" i="5"/>
  <c r="X1162" i="5" s="1"/>
  <c r="J1162" i="5"/>
  <c r="I1162" i="5"/>
  <c r="H1162" i="5"/>
  <c r="F1162" i="5"/>
  <c r="R1162" i="5"/>
  <c r="F1450" i="5"/>
  <c r="J1450" i="5"/>
  <c r="I1450" i="5"/>
  <c r="H1450" i="5"/>
  <c r="F1534" i="5"/>
  <c r="J1534" i="5"/>
  <c r="I1534" i="5"/>
  <c r="H1534" i="5"/>
  <c r="E1738" i="5"/>
  <c r="X1738" i="5" s="1"/>
  <c r="I1738" i="5"/>
  <c r="J1738" i="5"/>
  <c r="H1738" i="5"/>
  <c r="R1738" i="5"/>
  <c r="F1738" i="5"/>
  <c r="E1930" i="5"/>
  <c r="X1930" i="5" s="1"/>
  <c r="I1930" i="5"/>
  <c r="F1930" i="5"/>
  <c r="R1930" i="5"/>
  <c r="J1930" i="5"/>
  <c r="H1930" i="5"/>
  <c r="E2326" i="5"/>
  <c r="X2326" i="5" s="1"/>
  <c r="F2326" i="5"/>
  <c r="J2326" i="5"/>
  <c r="R2326" i="5"/>
  <c r="I2326" i="5"/>
  <c r="H2326" i="5"/>
  <c r="R2410" i="5"/>
  <c r="I2410" i="5"/>
  <c r="E2410" i="5"/>
  <c r="X2410" i="5" s="1"/>
  <c r="F2410" i="5"/>
  <c r="J2410" i="5"/>
  <c r="H2410" i="5"/>
  <c r="E1629" i="5"/>
  <c r="X1629" i="5" s="1"/>
  <c r="H1629" i="5"/>
  <c r="F1629" i="5"/>
  <c r="I1629" i="5"/>
  <c r="J1629" i="5"/>
  <c r="R1629" i="5"/>
  <c r="E1545" i="5"/>
  <c r="X1545" i="5" s="1"/>
  <c r="R1545" i="5"/>
  <c r="H1545" i="5"/>
  <c r="J1545" i="5"/>
  <c r="I1545" i="5"/>
  <c r="F1545" i="5"/>
  <c r="E1689" i="5"/>
  <c r="X1689" i="5" s="1"/>
  <c r="H1689" i="5"/>
  <c r="R1689" i="5"/>
  <c r="I1689" i="5"/>
  <c r="J1689" i="5"/>
  <c r="F1689" i="5"/>
  <c r="G1473" i="5"/>
  <c r="E1929" i="5"/>
  <c r="X1929" i="5" s="1"/>
  <c r="F1929" i="5"/>
  <c r="J1929" i="5"/>
  <c r="I1929" i="5"/>
  <c r="H1929" i="5"/>
  <c r="R1929" i="5"/>
  <c r="F2349" i="5"/>
  <c r="H2349" i="5"/>
  <c r="E1449" i="5"/>
  <c r="X1449" i="5" s="1"/>
  <c r="F1449" i="5"/>
  <c r="J1449" i="5"/>
  <c r="H1449" i="5"/>
  <c r="I1449" i="5"/>
  <c r="R1449" i="5"/>
  <c r="E2338" i="5"/>
  <c r="X2338" i="5" s="1"/>
  <c r="I1583" i="5"/>
  <c r="E1942" i="5"/>
  <c r="X1942" i="5" s="1"/>
  <c r="F1942" i="5"/>
  <c r="I1942" i="5"/>
  <c r="H1942" i="5"/>
  <c r="J1942" i="5"/>
  <c r="R1942" i="5"/>
  <c r="E1583" i="5"/>
  <c r="X1583" i="5" s="1"/>
  <c r="F1877" i="5"/>
  <c r="I1877" i="5"/>
  <c r="J1877" i="5"/>
  <c r="E1241" i="5"/>
  <c r="X1241" i="5" s="1"/>
  <c r="R1241" i="5"/>
  <c r="F1241" i="5"/>
  <c r="H1241" i="5"/>
  <c r="J1241" i="5"/>
  <c r="I1241" i="5"/>
  <c r="E1601" i="5"/>
  <c r="X1601" i="5" s="1"/>
  <c r="H1601" i="5"/>
  <c r="I1601" i="5"/>
  <c r="R1601" i="5"/>
  <c r="F1601" i="5"/>
  <c r="J1601" i="5"/>
  <c r="E1223" i="5"/>
  <c r="X1223" i="5" s="1"/>
  <c r="R1223" i="5"/>
  <c r="I1223" i="5"/>
  <c r="F1223" i="5"/>
  <c r="H1223" i="5"/>
  <c r="J1223" i="5"/>
  <c r="R1751" i="5"/>
  <c r="J1751" i="5"/>
  <c r="I1751" i="5"/>
  <c r="E2399" i="5"/>
  <c r="X2399" i="5" s="1"/>
  <c r="I2399" i="5"/>
  <c r="F2399" i="5"/>
  <c r="H2399" i="5"/>
  <c r="J2399" i="5"/>
  <c r="R2399" i="5"/>
  <c r="E1618" i="5"/>
  <c r="X1618" i="5" s="1"/>
  <c r="G1618" i="5"/>
  <c r="H1618" i="5"/>
  <c r="I1618" i="5"/>
  <c r="F1618" i="5"/>
  <c r="R1618" i="5"/>
  <c r="J1618" i="5"/>
  <c r="E1750" i="5"/>
  <c r="X1750" i="5" s="1"/>
  <c r="R1750" i="5"/>
  <c r="J1750" i="5"/>
  <c r="I1750" i="5"/>
  <c r="H1750" i="5"/>
  <c r="F1750" i="5"/>
  <c r="J2109" i="5"/>
  <c r="H2109" i="5"/>
  <c r="G1593" i="5"/>
  <c r="I1593" i="5"/>
  <c r="F1593" i="5"/>
  <c r="J1593" i="5"/>
  <c r="H1593" i="5"/>
  <c r="E1593" i="5"/>
  <c r="X1593" i="5" s="1"/>
  <c r="R1593" i="5"/>
  <c r="I1845" i="5"/>
  <c r="R1845" i="5"/>
  <c r="J1845" i="5"/>
  <c r="I1905" i="5"/>
  <c r="E1905" i="5"/>
  <c r="X1905" i="5" s="1"/>
  <c r="J1905" i="5"/>
  <c r="R1905" i="5"/>
  <c r="H1905" i="5"/>
  <c r="F1905" i="5"/>
  <c r="E2409" i="5"/>
  <c r="X2409" i="5" s="1"/>
  <c r="R2409" i="5"/>
  <c r="J2409" i="5"/>
  <c r="F2409" i="5"/>
  <c r="I2409" i="5"/>
  <c r="H2409" i="5"/>
  <c r="E2037" i="5"/>
  <c r="X2037" i="5" s="1"/>
  <c r="I2037" i="5"/>
  <c r="R2037" i="5"/>
  <c r="H2037" i="5"/>
  <c r="F2037" i="5"/>
  <c r="J2037" i="5"/>
  <c r="E2086" i="5"/>
  <c r="X2086" i="5" s="1"/>
  <c r="F2086" i="5"/>
  <c r="J2086" i="5"/>
  <c r="R2086" i="5"/>
  <c r="I2086" i="5"/>
  <c r="H2086" i="5"/>
  <c r="J2061" i="5"/>
  <c r="R2061" i="5"/>
  <c r="F2061" i="5"/>
  <c r="E1353" i="5"/>
  <c r="X1353" i="5" s="1"/>
  <c r="R1353" i="5"/>
  <c r="H1353" i="5"/>
  <c r="J1353" i="5"/>
  <c r="F1353" i="5"/>
  <c r="I1353" i="5"/>
  <c r="E1461" i="5"/>
  <c r="X1461" i="5" s="1"/>
  <c r="I1461" i="5"/>
  <c r="R1461" i="5"/>
  <c r="J1461" i="5"/>
  <c r="H1461" i="5"/>
  <c r="F1461" i="5"/>
  <c r="R2001" i="5"/>
  <c r="E2001" i="5"/>
  <c r="X2001" i="5" s="1"/>
  <c r="I2001" i="5"/>
  <c r="H2001" i="5"/>
  <c r="F2001" i="5"/>
  <c r="J2001" i="5"/>
  <c r="G2289" i="5"/>
  <c r="E1234" i="5"/>
  <c r="X1234" i="5" s="1"/>
  <c r="I1234" i="5"/>
  <c r="R1234" i="5"/>
  <c r="H1234" i="5"/>
  <c r="F1234" i="5"/>
  <c r="J1234" i="5"/>
  <c r="G1761" i="5"/>
  <c r="F2373" i="5"/>
  <c r="E2061" i="5"/>
  <c r="X2061" i="5" s="1"/>
  <c r="G1247" i="5"/>
  <c r="J1247" i="5"/>
  <c r="I1247" i="5"/>
  <c r="H1247" i="5"/>
  <c r="E1270" i="5"/>
  <c r="X1270" i="5" s="1"/>
  <c r="R1270" i="5"/>
  <c r="F1270" i="5"/>
  <c r="J1270" i="5"/>
  <c r="I1270" i="5"/>
  <c r="H1270" i="5"/>
  <c r="E1474" i="5"/>
  <c r="X1474" i="5" s="1"/>
  <c r="J1474" i="5"/>
  <c r="I1474" i="5"/>
  <c r="R1474" i="5"/>
  <c r="H1474" i="5"/>
  <c r="F1474" i="5"/>
  <c r="E1954" i="5"/>
  <c r="X1954" i="5" s="1"/>
  <c r="R1954" i="5"/>
  <c r="H1954" i="5"/>
  <c r="I1954" i="5"/>
  <c r="F1954" i="5"/>
  <c r="J1954" i="5"/>
  <c r="E2206" i="5"/>
  <c r="X2206" i="5" s="1"/>
  <c r="F2206" i="5"/>
  <c r="R2206" i="5"/>
  <c r="I2206" i="5"/>
  <c r="J2206" i="5"/>
  <c r="H2206" i="5"/>
  <c r="J2350" i="5"/>
  <c r="F2350" i="5"/>
  <c r="I2350" i="5"/>
  <c r="R2350" i="5"/>
  <c r="H2350" i="5"/>
  <c r="E2181" i="5"/>
  <c r="X2181" i="5" s="1"/>
  <c r="J2181" i="5"/>
  <c r="I2181" i="5"/>
  <c r="R2181" i="5"/>
  <c r="H2181" i="5"/>
  <c r="F2181" i="5"/>
  <c r="G1653" i="5"/>
  <c r="E1653" i="5"/>
  <c r="X1653" i="5" s="1"/>
  <c r="J1653" i="5"/>
  <c r="I1653" i="5"/>
  <c r="H1653" i="5"/>
  <c r="F1653" i="5"/>
  <c r="R1653" i="5"/>
  <c r="R2385" i="5"/>
  <c r="E2385" i="5"/>
  <c r="X2385" i="5" s="1"/>
  <c r="J2385" i="5"/>
  <c r="I2385" i="5"/>
  <c r="H2385" i="5"/>
  <c r="F2385" i="5"/>
  <c r="H1365" i="5"/>
  <c r="R1365" i="5"/>
  <c r="J1365" i="5"/>
  <c r="I1365" i="5"/>
  <c r="F1365" i="5"/>
  <c r="I1605" i="5"/>
  <c r="F1605" i="5"/>
  <c r="R1953" i="5"/>
  <c r="E1953" i="5"/>
  <c r="X1953" i="5" s="1"/>
  <c r="J1953" i="5"/>
  <c r="I1953" i="5"/>
  <c r="F1953" i="5"/>
  <c r="H1953" i="5"/>
  <c r="E1737" i="5"/>
  <c r="X1737" i="5" s="1"/>
  <c r="H1737" i="5"/>
  <c r="R1737" i="5"/>
  <c r="I1737" i="5"/>
  <c r="F1737" i="5"/>
  <c r="J1737" i="5"/>
  <c r="E2397" i="5"/>
  <c r="X2397" i="5" s="1"/>
  <c r="H2397" i="5"/>
  <c r="I2397" i="5"/>
  <c r="J2397" i="5"/>
  <c r="R2397" i="5"/>
  <c r="F2397" i="5"/>
  <c r="G1785" i="5"/>
  <c r="E1785" i="5"/>
  <c r="X1785" i="5" s="1"/>
  <c r="F1785" i="5"/>
  <c r="H1785" i="5"/>
  <c r="J1785" i="5"/>
  <c r="I1785" i="5"/>
  <c r="R1785" i="5"/>
  <c r="H2085" i="5"/>
  <c r="I2085" i="5"/>
  <c r="R2085" i="5"/>
  <c r="E2289" i="5"/>
  <c r="X2289" i="5" s="1"/>
  <c r="G2001" i="5"/>
  <c r="I2373" i="5"/>
  <c r="I1637" i="5"/>
  <c r="J1637" i="5"/>
  <c r="H1637" i="5"/>
  <c r="G1637" i="5"/>
  <c r="R1637" i="5"/>
  <c r="I2141" i="5"/>
  <c r="J2141" i="5"/>
  <c r="F2141" i="5"/>
  <c r="H2141" i="5"/>
  <c r="E1931" i="5"/>
  <c r="X1931" i="5" s="1"/>
  <c r="F1931" i="5"/>
  <c r="R1931" i="5"/>
  <c r="I1931" i="5"/>
  <c r="H1931" i="5"/>
  <c r="J1931" i="5"/>
  <c r="I2302" i="5"/>
  <c r="J2302" i="5"/>
  <c r="E2302" i="5"/>
  <c r="X2302" i="5" s="1"/>
  <c r="R2302" i="5"/>
  <c r="H2302" i="5"/>
  <c r="F2302" i="5"/>
  <c r="F1774" i="5"/>
  <c r="R1774" i="5"/>
  <c r="H1774" i="5"/>
  <c r="E1893" i="5"/>
  <c r="X1893" i="5" s="1"/>
  <c r="R1893" i="5"/>
  <c r="I1893" i="5"/>
  <c r="H1893" i="5"/>
  <c r="F1893" i="5"/>
  <c r="J1893" i="5"/>
  <c r="E2049" i="5"/>
  <c r="X2049" i="5" s="1"/>
  <c r="J2049" i="5"/>
  <c r="I2049" i="5"/>
  <c r="F2049" i="5"/>
  <c r="H2049" i="5"/>
  <c r="R2049" i="5"/>
  <c r="F1533" i="5"/>
  <c r="R1533" i="5"/>
  <c r="J1533" i="5"/>
  <c r="I1533" i="5"/>
  <c r="H1533" i="5"/>
  <c r="E1401" i="5"/>
  <c r="X1401" i="5" s="1"/>
  <c r="H1401" i="5"/>
  <c r="I1401" i="5"/>
  <c r="R1401" i="5"/>
  <c r="J1401" i="5"/>
  <c r="F1401" i="5"/>
  <c r="I1557" i="5"/>
  <c r="E1557" i="5"/>
  <c r="X1557" i="5" s="1"/>
  <c r="F1557" i="5"/>
  <c r="H1557" i="5"/>
  <c r="J1557" i="5"/>
  <c r="R1557" i="5"/>
  <c r="E1245" i="5"/>
  <c r="X1245" i="5" s="1"/>
  <c r="H1245" i="5"/>
  <c r="F1245" i="5"/>
  <c r="I1245" i="5"/>
  <c r="R1245" i="5"/>
  <c r="J1245" i="5"/>
  <c r="G1569" i="5"/>
  <c r="E1833" i="5"/>
  <c r="X1833" i="5" s="1"/>
  <c r="I1833" i="5"/>
  <c r="J1833" i="5"/>
  <c r="R1833" i="5"/>
  <c r="H1833" i="5"/>
  <c r="F1833" i="5"/>
  <c r="E2254" i="5"/>
  <c r="X2254" i="5" s="1"/>
  <c r="H2254" i="5"/>
  <c r="F2254" i="5"/>
  <c r="R2254" i="5"/>
  <c r="J2254" i="5"/>
  <c r="I2254" i="5"/>
  <c r="E1726" i="5"/>
  <c r="X1726" i="5" s="1"/>
  <c r="H1726" i="5"/>
  <c r="J1726" i="5"/>
  <c r="I1726" i="5"/>
  <c r="F1726" i="5"/>
  <c r="R1726" i="5"/>
  <c r="G1665" i="5"/>
  <c r="E1665" i="5"/>
  <c r="X1665" i="5" s="1"/>
  <c r="I1665" i="5"/>
  <c r="R1665" i="5"/>
  <c r="F1665" i="5"/>
  <c r="J1665" i="5"/>
  <c r="H1665" i="5"/>
  <c r="J2013" i="5"/>
  <c r="E2013" i="5"/>
  <c r="X2013" i="5" s="1"/>
  <c r="H2013" i="5"/>
  <c r="J1541" i="5"/>
  <c r="I1541" i="5"/>
  <c r="F1541" i="5"/>
  <c r="H1541" i="5"/>
  <c r="E1606" i="5"/>
  <c r="X1606" i="5" s="1"/>
  <c r="J1606" i="5"/>
  <c r="H1606" i="5"/>
  <c r="F1606" i="5"/>
  <c r="R1606" i="5"/>
  <c r="I1606" i="5"/>
  <c r="E1713" i="5"/>
  <c r="X1713" i="5" s="1"/>
  <c r="F1713" i="5"/>
  <c r="J1713" i="5"/>
  <c r="H1713" i="5"/>
  <c r="R1713" i="5"/>
  <c r="I1713" i="5"/>
  <c r="I2013" i="5"/>
  <c r="H2373" i="5"/>
  <c r="J2373" i="5"/>
  <c r="E1282" i="5"/>
  <c r="X1282" i="5" s="1"/>
  <c r="I1282" i="5"/>
  <c r="J1282" i="5"/>
  <c r="R1282" i="5"/>
  <c r="F1282" i="5"/>
  <c r="H1282" i="5"/>
  <c r="E2038" i="5"/>
  <c r="X2038" i="5" s="1"/>
  <c r="R2038" i="5"/>
  <c r="J2038" i="5"/>
  <c r="I2038" i="5"/>
  <c r="H2038" i="5"/>
  <c r="F2038" i="5"/>
  <c r="E2374" i="5"/>
  <c r="X2374" i="5" s="1"/>
  <c r="J2374" i="5"/>
  <c r="I2374" i="5"/>
  <c r="F2374" i="5"/>
  <c r="H2374" i="5"/>
  <c r="R2374" i="5"/>
  <c r="E1317" i="5"/>
  <c r="X1317" i="5" s="1"/>
  <c r="J1317" i="5"/>
  <c r="I1317" i="5"/>
  <c r="R1317" i="5"/>
  <c r="H1317" i="5"/>
  <c r="F1317" i="5"/>
  <c r="G1689" i="5"/>
  <c r="H2457" i="5"/>
  <c r="R2457" i="5"/>
  <c r="I2457" i="5"/>
  <c r="I1773" i="5"/>
  <c r="R1773" i="5"/>
  <c r="J1773" i="5"/>
  <c r="E1773" i="5"/>
  <c r="X1773" i="5" s="1"/>
  <c r="H1773" i="5"/>
  <c r="F1773" i="5"/>
  <c r="J2217" i="5"/>
  <c r="E2217" i="5"/>
  <c r="X2217" i="5" s="1"/>
  <c r="R2217" i="5"/>
  <c r="H2217" i="5"/>
  <c r="I2217" i="5"/>
  <c r="F2217" i="5"/>
  <c r="G1833" i="5"/>
  <c r="E2445" i="5"/>
  <c r="X2445" i="5" s="1"/>
  <c r="J2445" i="5"/>
  <c r="I2445" i="5"/>
  <c r="H2445" i="5"/>
  <c r="F2445" i="5"/>
  <c r="R2445" i="5"/>
  <c r="E1433" i="5"/>
  <c r="X1433" i="5" s="1"/>
  <c r="F1433" i="5"/>
  <c r="J1433" i="5"/>
  <c r="I1433" i="5"/>
  <c r="H1433" i="5"/>
  <c r="R1433" i="5"/>
  <c r="E1941" i="5"/>
  <c r="X1941" i="5" s="1"/>
  <c r="I1941" i="5"/>
  <c r="H1941" i="5"/>
  <c r="F1941" i="5"/>
  <c r="R1941" i="5"/>
  <c r="J1941" i="5"/>
  <c r="E1821" i="5"/>
  <c r="X1821" i="5" s="1"/>
  <c r="F1821" i="5"/>
  <c r="J1821" i="5"/>
  <c r="H1821" i="5"/>
  <c r="R1821" i="5"/>
  <c r="I1821" i="5"/>
  <c r="H2193" i="5"/>
  <c r="F2193" i="5"/>
  <c r="I2193" i="5"/>
  <c r="R2193" i="5"/>
  <c r="J2193" i="5"/>
  <c r="E2193" i="5"/>
  <c r="X2193" i="5" s="1"/>
  <c r="F1761" i="5"/>
  <c r="H1761" i="5"/>
  <c r="J1761" i="5"/>
  <c r="I1761" i="5"/>
  <c r="R1761" i="5"/>
  <c r="F1281" i="5"/>
  <c r="J1281" i="5"/>
  <c r="R1281" i="5"/>
  <c r="I1281" i="5"/>
  <c r="H1281" i="5"/>
  <c r="E1281" i="5"/>
  <c r="X1281" i="5" s="1"/>
  <c r="F2289" i="5"/>
  <c r="I2121" i="5"/>
  <c r="R2121" i="5"/>
  <c r="H2121" i="5"/>
  <c r="F2121" i="5"/>
  <c r="J2121" i="5"/>
  <c r="E2121" i="5"/>
  <c r="X2121" i="5" s="1"/>
  <c r="F1293" i="5"/>
  <c r="R1293" i="5"/>
  <c r="E2157" i="5"/>
  <c r="X2157" i="5" s="1"/>
  <c r="F2157" i="5"/>
  <c r="J2157" i="5"/>
  <c r="H2157" i="5"/>
  <c r="I2157" i="5"/>
  <c r="R2157" i="5"/>
  <c r="G2013" i="5"/>
  <c r="E1341" i="5"/>
  <c r="X1341" i="5" s="1"/>
  <c r="H1341" i="5"/>
  <c r="F1341" i="5"/>
  <c r="R1341" i="5"/>
  <c r="I1341" i="5"/>
  <c r="J1341" i="5"/>
  <c r="E1749" i="5"/>
  <c r="X1749" i="5" s="1"/>
  <c r="F1749" i="5"/>
  <c r="J1749" i="5"/>
  <c r="R1749" i="5"/>
  <c r="H1749" i="5"/>
  <c r="G1749" i="5"/>
  <c r="I1749" i="5"/>
  <c r="F2013" i="5"/>
  <c r="R2373" i="5"/>
  <c r="R1169" i="5"/>
  <c r="F1169" i="5"/>
  <c r="G1169" i="5"/>
  <c r="I1169" i="5"/>
  <c r="J1169" i="5"/>
  <c r="E1757" i="5"/>
  <c r="X1757" i="5" s="1"/>
  <c r="F1757" i="5"/>
  <c r="R1757" i="5"/>
  <c r="J1757" i="5"/>
  <c r="I1757" i="5"/>
  <c r="H1757" i="5"/>
  <c r="E1259" i="5"/>
  <c r="X1259" i="5" s="1"/>
  <c r="I1259" i="5"/>
  <c r="R1259" i="5"/>
  <c r="J1259" i="5"/>
  <c r="F1259" i="5"/>
  <c r="H1259" i="5"/>
  <c r="R1967" i="5"/>
  <c r="H1967" i="5"/>
  <c r="I1967" i="5"/>
  <c r="J1967" i="5"/>
  <c r="E1690" i="5"/>
  <c r="X1690" i="5" s="1"/>
  <c r="R1690" i="5"/>
  <c r="F1690" i="5"/>
  <c r="I1690" i="5"/>
  <c r="H1690" i="5"/>
  <c r="J1690" i="5"/>
  <c r="E1390" i="5"/>
  <c r="X1390" i="5" s="1"/>
  <c r="I1390" i="5"/>
  <c r="H1390" i="5"/>
  <c r="R1390" i="5"/>
  <c r="J1390" i="5"/>
  <c r="F1390" i="5"/>
  <c r="E1510" i="5"/>
  <c r="X1510" i="5" s="1"/>
  <c r="I1510" i="5"/>
  <c r="R1510" i="5"/>
  <c r="H1510" i="5"/>
  <c r="F1510" i="5"/>
  <c r="J1510" i="5"/>
  <c r="E1714" i="5"/>
  <c r="X1714" i="5" s="1"/>
  <c r="H1714" i="5"/>
  <c r="R1714" i="5"/>
  <c r="I1714" i="5"/>
  <c r="F1714" i="5"/>
  <c r="J1714" i="5"/>
  <c r="G1941" i="5"/>
  <c r="E2421" i="5"/>
  <c r="X2421" i="5" s="1"/>
  <c r="R2421" i="5"/>
  <c r="J2421" i="5"/>
  <c r="I2421" i="5"/>
  <c r="H2421" i="5"/>
  <c r="F2421" i="5"/>
  <c r="E1185" i="5"/>
  <c r="X1185" i="5" s="1"/>
  <c r="J1185" i="5"/>
  <c r="H1185" i="5"/>
  <c r="R1185" i="5"/>
  <c r="I1185" i="5"/>
  <c r="F1185" i="5"/>
  <c r="R1977" i="5"/>
  <c r="H1977" i="5"/>
  <c r="E1977" i="5"/>
  <c r="X1977" i="5" s="1"/>
  <c r="J1977" i="5"/>
  <c r="E2205" i="5"/>
  <c r="X2205" i="5" s="1"/>
  <c r="F2205" i="5"/>
  <c r="I2205" i="5"/>
  <c r="J2205" i="5"/>
  <c r="H2205" i="5"/>
  <c r="R2205" i="5"/>
  <c r="E1581" i="5"/>
  <c r="X1581" i="5" s="1"/>
  <c r="I1581" i="5"/>
  <c r="R1581" i="5"/>
  <c r="F1581" i="5"/>
  <c r="H1581" i="5"/>
  <c r="J1581" i="5"/>
  <c r="F1305" i="5"/>
  <c r="H1305" i="5"/>
  <c r="G1881" i="5"/>
  <c r="E1881" i="5"/>
  <c r="X1881" i="5" s="1"/>
  <c r="F2469" i="5"/>
  <c r="E2469" i="5"/>
  <c r="X2469" i="5" s="1"/>
  <c r="R2469" i="5"/>
  <c r="H2469" i="5"/>
  <c r="I2469" i="5"/>
  <c r="J2469" i="5"/>
  <c r="R2289" i="5"/>
  <c r="I2289" i="5"/>
  <c r="G1413" i="5"/>
  <c r="E1413" i="5"/>
  <c r="X1413" i="5" s="1"/>
  <c r="R1413" i="5"/>
  <c r="I1413" i="5"/>
  <c r="H1413" i="5"/>
  <c r="F1413" i="5"/>
  <c r="G1433" i="5"/>
  <c r="E2183" i="5"/>
  <c r="X2183" i="5" s="1"/>
  <c r="G2183" i="5"/>
  <c r="F2183" i="5"/>
  <c r="J2183" i="5"/>
  <c r="H2183" i="5"/>
  <c r="R2183" i="5"/>
  <c r="I2183" i="5"/>
  <c r="E1846" i="5"/>
  <c r="X1846" i="5" s="1"/>
  <c r="J1846" i="5"/>
  <c r="H1846" i="5"/>
  <c r="F1846" i="5"/>
  <c r="I1846" i="5"/>
  <c r="R1846" i="5"/>
  <c r="E2398" i="5"/>
  <c r="X2398" i="5" s="1"/>
  <c r="R2398" i="5"/>
  <c r="J2398" i="5"/>
  <c r="I2398" i="5"/>
  <c r="H2398" i="5"/>
  <c r="F2398" i="5"/>
  <c r="I1857" i="5"/>
  <c r="E1857" i="5"/>
  <c r="X1857" i="5" s="1"/>
  <c r="H1857" i="5"/>
  <c r="F1857" i="5"/>
  <c r="R1857" i="5"/>
  <c r="J1857" i="5"/>
  <c r="E1173" i="5"/>
  <c r="X1173" i="5" s="1"/>
  <c r="F1173" i="5"/>
  <c r="J1173" i="5"/>
  <c r="I1173" i="5"/>
  <c r="H1173" i="5"/>
  <c r="R1173" i="5"/>
  <c r="E1965" i="5"/>
  <c r="X1965" i="5" s="1"/>
  <c r="F1965" i="5"/>
  <c r="R1965" i="5"/>
  <c r="H1965" i="5"/>
  <c r="E1209" i="5"/>
  <c r="X1209" i="5" s="1"/>
  <c r="R1209" i="5"/>
  <c r="J1209" i="5"/>
  <c r="I1209" i="5"/>
  <c r="H1209" i="5"/>
  <c r="F1209" i="5"/>
  <c r="E1677" i="5"/>
  <c r="X1677" i="5" s="1"/>
  <c r="I1677" i="5"/>
  <c r="F1677" i="5"/>
  <c r="H1677" i="5"/>
  <c r="J1677" i="5"/>
  <c r="R1677" i="5"/>
  <c r="G2061" i="5"/>
  <c r="R1920" i="5"/>
  <c r="H1920" i="5"/>
  <c r="F1920" i="5"/>
  <c r="F1217" i="5"/>
  <c r="I1217" i="5"/>
  <c r="J1217" i="5"/>
  <c r="H1217" i="5"/>
  <c r="E2219" i="5"/>
  <c r="X2219" i="5" s="1"/>
  <c r="R2219" i="5"/>
  <c r="I2219" i="5"/>
  <c r="H2219" i="5"/>
  <c r="J2219" i="5"/>
  <c r="F2219" i="5"/>
  <c r="H1725" i="5"/>
  <c r="J1725" i="5"/>
  <c r="R1725" i="5"/>
  <c r="I1725" i="5"/>
  <c r="F1725" i="5"/>
  <c r="I2061" i="5"/>
  <c r="E1462" i="5"/>
  <c r="X1462" i="5" s="1"/>
  <c r="I1462" i="5"/>
  <c r="J1462" i="5"/>
  <c r="R1462" i="5"/>
  <c r="F1462" i="5"/>
  <c r="H1462" i="5"/>
  <c r="G2338" i="5"/>
  <c r="E1509" i="5"/>
  <c r="X1509" i="5" s="1"/>
  <c r="I1509" i="5"/>
  <c r="H1509" i="5"/>
  <c r="J1509" i="5"/>
  <c r="R1509" i="5"/>
  <c r="F1509" i="5"/>
  <c r="G1725" i="5"/>
  <c r="E2373" i="5"/>
  <c r="X2373" i="5" s="1"/>
  <c r="R2273" i="5"/>
  <c r="G2273" i="5"/>
  <c r="J2273" i="5"/>
  <c r="F2273" i="5"/>
  <c r="I1721" i="5"/>
  <c r="J1721" i="5"/>
  <c r="F1721" i="5"/>
  <c r="R1721" i="5"/>
  <c r="H1721" i="5"/>
  <c r="G1283" i="5"/>
  <c r="J2027" i="5"/>
  <c r="I2027" i="5"/>
  <c r="E2027" i="5"/>
  <c r="X2027" i="5" s="1"/>
  <c r="G2027" i="5"/>
  <c r="G1390" i="5"/>
  <c r="J1522" i="5"/>
  <c r="F1522" i="5"/>
  <c r="G1522" i="5"/>
  <c r="I1522" i="5"/>
  <c r="R1522" i="5"/>
  <c r="G1714" i="5"/>
  <c r="E1786" i="5"/>
  <c r="X1786" i="5" s="1"/>
  <c r="I1786" i="5"/>
  <c r="F1786" i="5"/>
  <c r="R1786" i="5"/>
  <c r="J1786" i="5"/>
  <c r="H1786" i="5"/>
  <c r="E2074" i="5"/>
  <c r="X2074" i="5" s="1"/>
  <c r="F2074" i="5"/>
  <c r="R2074" i="5"/>
  <c r="J2074" i="5"/>
  <c r="I2074" i="5"/>
  <c r="H2074" i="5"/>
  <c r="G2254" i="5"/>
  <c r="E2386" i="5"/>
  <c r="X2386" i="5" s="1"/>
  <c r="I2386" i="5"/>
  <c r="H2386" i="5"/>
  <c r="R2386" i="5"/>
  <c r="F2386" i="5"/>
  <c r="J2386" i="5"/>
  <c r="E1425" i="5"/>
  <c r="X1425" i="5" s="1"/>
  <c r="H1425" i="5"/>
  <c r="R1425" i="5"/>
  <c r="F1425" i="5"/>
  <c r="J1425" i="5"/>
  <c r="I1425" i="5"/>
  <c r="E2169" i="5"/>
  <c r="X2169" i="5" s="1"/>
  <c r="H2169" i="5"/>
  <c r="R2169" i="5"/>
  <c r="J2169" i="5"/>
  <c r="E1521" i="5"/>
  <c r="X1521" i="5" s="1"/>
  <c r="R1521" i="5"/>
  <c r="J1521" i="5"/>
  <c r="H1521" i="5"/>
  <c r="I1521" i="5"/>
  <c r="F1521" i="5"/>
  <c r="J1257" i="5"/>
  <c r="H1257" i="5"/>
  <c r="I1257" i="5"/>
  <c r="E1437" i="5"/>
  <c r="X1437" i="5" s="1"/>
  <c r="J1437" i="5"/>
  <c r="I1437" i="5"/>
  <c r="H1437" i="5"/>
  <c r="F1437" i="5"/>
  <c r="R1437" i="5"/>
  <c r="E2493" i="5"/>
  <c r="J2493" i="5"/>
  <c r="I2493" i="5"/>
  <c r="H2493" i="5"/>
  <c r="F2493" i="5"/>
  <c r="R2493" i="5"/>
  <c r="G1629" i="5"/>
  <c r="G1821" i="5"/>
  <c r="E2265" i="5"/>
  <c r="X2265" i="5" s="1"/>
  <c r="I2265" i="5"/>
  <c r="R2265" i="5"/>
  <c r="J2265" i="5"/>
  <c r="H2265" i="5"/>
  <c r="F2265" i="5"/>
  <c r="E2481" i="5"/>
  <c r="X2481" i="5" s="1"/>
  <c r="J2481" i="5"/>
  <c r="H2481" i="5"/>
  <c r="I2481" i="5"/>
  <c r="R2481" i="5"/>
  <c r="F2481" i="5"/>
  <c r="G2193" i="5"/>
  <c r="E2277" i="5"/>
  <c r="X2277" i="5" s="1"/>
  <c r="F2277" i="5"/>
  <c r="I2277" i="5"/>
  <c r="J2277" i="5"/>
  <c r="R2277" i="5"/>
  <c r="H2277" i="5"/>
  <c r="H49" i="6"/>
  <c r="D49" i="6" s="1"/>
  <c r="C39" i="6"/>
  <c r="H34" i="6"/>
  <c r="H29" i="6"/>
  <c r="D29" i="6" s="1"/>
  <c r="E1619" i="5"/>
  <c r="X1619" i="5" s="1"/>
  <c r="I1619" i="5"/>
  <c r="H1619" i="5"/>
  <c r="J1619" i="5"/>
  <c r="F1619" i="5"/>
  <c r="R1619" i="5"/>
  <c r="G2363" i="5"/>
  <c r="E2363" i="5"/>
  <c r="X2363" i="5" s="1"/>
  <c r="J2363" i="5"/>
  <c r="I2363" i="5"/>
  <c r="H2363" i="5"/>
  <c r="F2363" i="5"/>
  <c r="R2363" i="5"/>
  <c r="E1164" i="5"/>
  <c r="R1164" i="5"/>
  <c r="H1164" i="5"/>
  <c r="F1164" i="5"/>
  <c r="J1164" i="5"/>
  <c r="I1164" i="5"/>
  <c r="R1944" i="5"/>
  <c r="J1944" i="5"/>
  <c r="E1944" i="5"/>
  <c r="X1944" i="5" s="1"/>
  <c r="F1944" i="5"/>
  <c r="H1944" i="5"/>
  <c r="I1944" i="5"/>
  <c r="I1273" i="5"/>
  <c r="H1273" i="5"/>
  <c r="E1273" i="5"/>
  <c r="X1273" i="5" s="1"/>
  <c r="R1273" i="5"/>
  <c r="J1273" i="5"/>
  <c r="F1273" i="5"/>
  <c r="F2053" i="5"/>
  <c r="E2053" i="5"/>
  <c r="X2053" i="5" s="1"/>
  <c r="I2053" i="5"/>
  <c r="J2053" i="5"/>
  <c r="R2053" i="5"/>
  <c r="H2053" i="5"/>
  <c r="E2317" i="5"/>
  <c r="X2317" i="5" s="1"/>
  <c r="I2317" i="5"/>
  <c r="J2317" i="5"/>
  <c r="H2317" i="5"/>
  <c r="F2317" i="5"/>
  <c r="R2317" i="5"/>
  <c r="E1198" i="5"/>
  <c r="X1198" i="5" s="1"/>
  <c r="G1198" i="5"/>
  <c r="R1198" i="5"/>
  <c r="J1198" i="5"/>
  <c r="I1198" i="5"/>
  <c r="F1198" i="5"/>
  <c r="H1198" i="5"/>
  <c r="E1271" i="5"/>
  <c r="X1271" i="5" s="1"/>
  <c r="J1271" i="5"/>
  <c r="I1271" i="5"/>
  <c r="R1271" i="5"/>
  <c r="H1271" i="5"/>
  <c r="F1271" i="5"/>
  <c r="E2279" i="5"/>
  <c r="X2279" i="5" s="1"/>
  <c r="I2279" i="5"/>
  <c r="H2279" i="5"/>
  <c r="F2279" i="5"/>
  <c r="J2279" i="5"/>
  <c r="R2279" i="5"/>
  <c r="E1872" i="5"/>
  <c r="X1872" i="5" s="1"/>
  <c r="I1872" i="5"/>
  <c r="F1872" i="5"/>
  <c r="R1872" i="5"/>
  <c r="J1872" i="5"/>
  <c r="H1872" i="5"/>
  <c r="E1352" i="5"/>
  <c r="X1352" i="5" s="1"/>
  <c r="I1352" i="5"/>
  <c r="R1352" i="5"/>
  <c r="F1352" i="5"/>
  <c r="H1352" i="5"/>
  <c r="J1352" i="5"/>
  <c r="E1342" i="5"/>
  <c r="X1342" i="5" s="1"/>
  <c r="H1342" i="5"/>
  <c r="J1342" i="5"/>
  <c r="R1342" i="5"/>
  <c r="I1342" i="5"/>
  <c r="F1342" i="5"/>
  <c r="G2026" i="5"/>
  <c r="H2026" i="5"/>
  <c r="F2026" i="5"/>
  <c r="E2026" i="5"/>
  <c r="X2026" i="5" s="1"/>
  <c r="J2026" i="5"/>
  <c r="I2026" i="5"/>
  <c r="R2026" i="5"/>
  <c r="E2496" i="5"/>
  <c r="J2496" i="5"/>
  <c r="I2496" i="5"/>
  <c r="H2496" i="5"/>
  <c r="R2496" i="5"/>
  <c r="F2496" i="5"/>
  <c r="E1367" i="5"/>
  <c r="X1367" i="5" s="1"/>
  <c r="I1367" i="5"/>
  <c r="F1367" i="5"/>
  <c r="H1367" i="5"/>
  <c r="R1367" i="5"/>
  <c r="J1367" i="5"/>
  <c r="E1859" i="5"/>
  <c r="X1859" i="5" s="1"/>
  <c r="I1859" i="5"/>
  <c r="H1859" i="5"/>
  <c r="R1859" i="5"/>
  <c r="F1859" i="5"/>
  <c r="J1859" i="5"/>
  <c r="E1628" i="5"/>
  <c r="X1628" i="5" s="1"/>
  <c r="F1628" i="5"/>
  <c r="J1628" i="5"/>
  <c r="H1628" i="5"/>
  <c r="R1628" i="5"/>
  <c r="I1628" i="5"/>
  <c r="E1210" i="5"/>
  <c r="X1210" i="5" s="1"/>
  <c r="H1210" i="5"/>
  <c r="F1210" i="5"/>
  <c r="J1210" i="5"/>
  <c r="R1210" i="5"/>
  <c r="I1210" i="5"/>
  <c r="E1498" i="5"/>
  <c r="X1498" i="5" s="1"/>
  <c r="J1498" i="5"/>
  <c r="F1498" i="5"/>
  <c r="H1498" i="5"/>
  <c r="I1498" i="5"/>
  <c r="R1498" i="5"/>
  <c r="E1295" i="5"/>
  <c r="X1295" i="5" s="1"/>
  <c r="J1295" i="5"/>
  <c r="R1295" i="5"/>
  <c r="F1295" i="5"/>
  <c r="H1295" i="5"/>
  <c r="I1295" i="5"/>
  <c r="G1295" i="5"/>
  <c r="E1415" i="5"/>
  <c r="X1415" i="5" s="1"/>
  <c r="F1415" i="5"/>
  <c r="R1415" i="5"/>
  <c r="J1415" i="5"/>
  <c r="H1415" i="5"/>
  <c r="I1415" i="5"/>
  <c r="E1487" i="5"/>
  <c r="X1487" i="5" s="1"/>
  <c r="I1487" i="5"/>
  <c r="H1487" i="5"/>
  <c r="J1487" i="5"/>
  <c r="F1487" i="5"/>
  <c r="R1487" i="5"/>
  <c r="E1787" i="5"/>
  <c r="X1787" i="5" s="1"/>
  <c r="H1787" i="5"/>
  <c r="F1787" i="5"/>
  <c r="R1787" i="5"/>
  <c r="J1787" i="5"/>
  <c r="I1787" i="5"/>
  <c r="E2135" i="5"/>
  <c r="X2135" i="5" s="1"/>
  <c r="I2135" i="5"/>
  <c r="H2135" i="5"/>
  <c r="R2135" i="5"/>
  <c r="F2135" i="5"/>
  <c r="J2135" i="5"/>
  <c r="G2279" i="5"/>
  <c r="E2471" i="5"/>
  <c r="X2471" i="5" s="1"/>
  <c r="H2471" i="5"/>
  <c r="F2471" i="5"/>
  <c r="R2471" i="5"/>
  <c r="J2471" i="5"/>
  <c r="I2471" i="5"/>
  <c r="F1188" i="5"/>
  <c r="E1188" i="5"/>
  <c r="X1188" i="5" s="1"/>
  <c r="H1188" i="5"/>
  <c r="R1188" i="5"/>
  <c r="J1188" i="5"/>
  <c r="I1188" i="5"/>
  <c r="I1296" i="5"/>
  <c r="F1296" i="5"/>
  <c r="H1296" i="5"/>
  <c r="E1296" i="5"/>
  <c r="X1296" i="5" s="1"/>
  <c r="R1296" i="5"/>
  <c r="J1296" i="5"/>
  <c r="E1380" i="5"/>
  <c r="X1380" i="5" s="1"/>
  <c r="F1380" i="5"/>
  <c r="R1380" i="5"/>
  <c r="H1380" i="5"/>
  <c r="J1380" i="5"/>
  <c r="I1380" i="5"/>
  <c r="E1968" i="5"/>
  <c r="X1968" i="5" s="1"/>
  <c r="J1968" i="5"/>
  <c r="F1968" i="5"/>
  <c r="I1968" i="5"/>
  <c r="R1968" i="5"/>
  <c r="H1968" i="5"/>
  <c r="R1297" i="5"/>
  <c r="E1297" i="5"/>
  <c r="X1297" i="5" s="1"/>
  <c r="J1297" i="5"/>
  <c r="H1297" i="5"/>
  <c r="I1297" i="5"/>
  <c r="F1297" i="5"/>
  <c r="E1669" i="5"/>
  <c r="X1669" i="5" s="1"/>
  <c r="R1669" i="5"/>
  <c r="I1669" i="5"/>
  <c r="H1669" i="5"/>
  <c r="F1669" i="5"/>
  <c r="J1669" i="5"/>
  <c r="E2125" i="5"/>
  <c r="X2125" i="5" s="1"/>
  <c r="G2125" i="5"/>
  <c r="J2125" i="5"/>
  <c r="I2125" i="5"/>
  <c r="H2125" i="5"/>
  <c r="F2125" i="5"/>
  <c r="R2125" i="5"/>
  <c r="F2329" i="5"/>
  <c r="H2329" i="5"/>
  <c r="J2329" i="5"/>
  <c r="E2329" i="5"/>
  <c r="X2329" i="5" s="1"/>
  <c r="R2329" i="5"/>
  <c r="I2329" i="5"/>
  <c r="J1412" i="5"/>
  <c r="F1412" i="5"/>
  <c r="H1412" i="5"/>
  <c r="R1412" i="5"/>
  <c r="I1412" i="5"/>
  <c r="E1412" i="5"/>
  <c r="X1412" i="5" s="1"/>
  <c r="E1952" i="5"/>
  <c r="X1952" i="5" s="1"/>
  <c r="R1952" i="5"/>
  <c r="J1952" i="5"/>
  <c r="I1952" i="5"/>
  <c r="H1952" i="5"/>
  <c r="F1952" i="5"/>
  <c r="G1498" i="5"/>
  <c r="E2446" i="5"/>
  <c r="X2446" i="5" s="1"/>
  <c r="F2446" i="5"/>
  <c r="H2446" i="5"/>
  <c r="J2446" i="5"/>
  <c r="I2446" i="5"/>
  <c r="R2446" i="5"/>
  <c r="G1367" i="5"/>
  <c r="E1427" i="5"/>
  <c r="X1427" i="5" s="1"/>
  <c r="J1427" i="5"/>
  <c r="H1427" i="5"/>
  <c r="F1427" i="5"/>
  <c r="I1427" i="5"/>
  <c r="R1427" i="5"/>
  <c r="E1559" i="5"/>
  <c r="X1559" i="5" s="1"/>
  <c r="G1559" i="5"/>
  <c r="F1559" i="5"/>
  <c r="R1559" i="5"/>
  <c r="H1559" i="5"/>
  <c r="J1559" i="5"/>
  <c r="I1559" i="5"/>
  <c r="E1871" i="5"/>
  <c r="X1871" i="5" s="1"/>
  <c r="I1871" i="5"/>
  <c r="F1871" i="5"/>
  <c r="R1871" i="5"/>
  <c r="J1871" i="5"/>
  <c r="H1871" i="5"/>
  <c r="G2471" i="5"/>
  <c r="G1188" i="5"/>
  <c r="I1884" i="5"/>
  <c r="F1884" i="5"/>
  <c r="R1884" i="5"/>
  <c r="J1884" i="5"/>
  <c r="H1884" i="5"/>
  <c r="E1884" i="5"/>
  <c r="X1884" i="5" s="1"/>
  <c r="E2232" i="5"/>
  <c r="X2232" i="5" s="1"/>
  <c r="R2232" i="5"/>
  <c r="H2232" i="5"/>
  <c r="F2232" i="5"/>
  <c r="J2232" i="5"/>
  <c r="I2232" i="5"/>
  <c r="E1237" i="5"/>
  <c r="X1237" i="5" s="1"/>
  <c r="F1237" i="5"/>
  <c r="R1237" i="5"/>
  <c r="H1237" i="5"/>
  <c r="J1237" i="5"/>
  <c r="I1237" i="5"/>
  <c r="E1417" i="5"/>
  <c r="X1417" i="5" s="1"/>
  <c r="I1417" i="5"/>
  <c r="H1417" i="5"/>
  <c r="F1417" i="5"/>
  <c r="J1417" i="5"/>
  <c r="R1417" i="5"/>
  <c r="G1669" i="5"/>
  <c r="E1789" i="5"/>
  <c r="X1789" i="5" s="1"/>
  <c r="I1789" i="5"/>
  <c r="F1789" i="5"/>
  <c r="H1789" i="5"/>
  <c r="R1789" i="5"/>
  <c r="J1789" i="5"/>
  <c r="G2077" i="5"/>
  <c r="J2077" i="5"/>
  <c r="H2077" i="5"/>
  <c r="I2077" i="5"/>
  <c r="F2077" i="5"/>
  <c r="E2077" i="5"/>
  <c r="X2077" i="5" s="1"/>
  <c r="R2077" i="5"/>
  <c r="E2197" i="5"/>
  <c r="X2197" i="5" s="1"/>
  <c r="H2197" i="5"/>
  <c r="F2197" i="5"/>
  <c r="R2197" i="5"/>
  <c r="J2197" i="5"/>
  <c r="I2197" i="5"/>
  <c r="E2461" i="5"/>
  <c r="X2461" i="5" s="1"/>
  <c r="R2461" i="5"/>
  <c r="F2461" i="5"/>
  <c r="H2461" i="5"/>
  <c r="I2461" i="5"/>
  <c r="G2461" i="5"/>
  <c r="J2461" i="5"/>
  <c r="E1703" i="5"/>
  <c r="X1703" i="5" s="1"/>
  <c r="F1703" i="5"/>
  <c r="H1703" i="5"/>
  <c r="R1703" i="5"/>
  <c r="J1703" i="5"/>
  <c r="I1703" i="5"/>
  <c r="E1812" i="5"/>
  <c r="X1812" i="5" s="1"/>
  <c r="H1812" i="5"/>
  <c r="R1812" i="5"/>
  <c r="J1812" i="5"/>
  <c r="I1812" i="5"/>
  <c r="F1812" i="5"/>
  <c r="E2352" i="5"/>
  <c r="X2352" i="5" s="1"/>
  <c r="F2352" i="5"/>
  <c r="H2352" i="5"/>
  <c r="I2352" i="5"/>
  <c r="R2352" i="5"/>
  <c r="J2352" i="5"/>
  <c r="H1993" i="5"/>
  <c r="E1993" i="5"/>
  <c r="X1993" i="5" s="1"/>
  <c r="R1993" i="5"/>
  <c r="F1993" i="5"/>
  <c r="J1993" i="5"/>
  <c r="I1993" i="5"/>
  <c r="F2195" i="5"/>
  <c r="E2195" i="5"/>
  <c r="X2195" i="5" s="1"/>
  <c r="R2195" i="5"/>
  <c r="H2195" i="5"/>
  <c r="J2195" i="5"/>
  <c r="I2195" i="5"/>
  <c r="E1225" i="5"/>
  <c r="X1225" i="5" s="1"/>
  <c r="R1225" i="5"/>
  <c r="F1225" i="5"/>
  <c r="J1225" i="5"/>
  <c r="I1225" i="5"/>
  <c r="H1225" i="5"/>
  <c r="F1777" i="5"/>
  <c r="I1777" i="5"/>
  <c r="E1777" i="5"/>
  <c r="X1777" i="5" s="1"/>
  <c r="J1777" i="5"/>
  <c r="R1777" i="5"/>
  <c r="H1777" i="5"/>
  <c r="E1244" i="5"/>
  <c r="X1244" i="5" s="1"/>
  <c r="I1244" i="5"/>
  <c r="R1244" i="5"/>
  <c r="H1244" i="5"/>
  <c r="F1244" i="5"/>
  <c r="J1244" i="5"/>
  <c r="I1640" i="5"/>
  <c r="H1640" i="5"/>
  <c r="R1640" i="5"/>
  <c r="E1640" i="5"/>
  <c r="X1640" i="5" s="1"/>
  <c r="J1640" i="5"/>
  <c r="F1640" i="5"/>
  <c r="E1822" i="5"/>
  <c r="X1822" i="5" s="1"/>
  <c r="G1822" i="5"/>
  <c r="R1822" i="5"/>
  <c r="H1822" i="5"/>
  <c r="F1822" i="5"/>
  <c r="I1822" i="5"/>
  <c r="J1822" i="5"/>
  <c r="R1908" i="5"/>
  <c r="I1908" i="5"/>
  <c r="F1908" i="5"/>
  <c r="J1908" i="5"/>
  <c r="E1908" i="5"/>
  <c r="X1908" i="5" s="1"/>
  <c r="H1908" i="5"/>
  <c r="E1307" i="5"/>
  <c r="X1307" i="5" s="1"/>
  <c r="J1307" i="5"/>
  <c r="G1307" i="5"/>
  <c r="I1307" i="5"/>
  <c r="R1307" i="5"/>
  <c r="H1307" i="5"/>
  <c r="F1307" i="5"/>
  <c r="E1499" i="5"/>
  <c r="X1499" i="5" s="1"/>
  <c r="F1499" i="5"/>
  <c r="J1499" i="5"/>
  <c r="H1499" i="5"/>
  <c r="I1499" i="5"/>
  <c r="R1499" i="5"/>
  <c r="G1499" i="5"/>
  <c r="E2051" i="5"/>
  <c r="X2051" i="5" s="1"/>
  <c r="H2051" i="5"/>
  <c r="R2051" i="5"/>
  <c r="I2051" i="5"/>
  <c r="J2051" i="5"/>
  <c r="F2051" i="5"/>
  <c r="G2135" i="5"/>
  <c r="E1392" i="5"/>
  <c r="X1392" i="5" s="1"/>
  <c r="R1392" i="5"/>
  <c r="J1392" i="5"/>
  <c r="F1392" i="5"/>
  <c r="I1392" i="5"/>
  <c r="H1392" i="5"/>
  <c r="E1572" i="5"/>
  <c r="X1572" i="5" s="1"/>
  <c r="R1572" i="5"/>
  <c r="J1572" i="5"/>
  <c r="I1572" i="5"/>
  <c r="H1572" i="5"/>
  <c r="F1572" i="5"/>
  <c r="R1692" i="5"/>
  <c r="J1692" i="5"/>
  <c r="E1692" i="5"/>
  <c r="X1692" i="5" s="1"/>
  <c r="I1692" i="5"/>
  <c r="H1692" i="5"/>
  <c r="F1692" i="5"/>
  <c r="I1836" i="5"/>
  <c r="R1836" i="5"/>
  <c r="J1836" i="5"/>
  <c r="E1836" i="5"/>
  <c r="X1836" i="5" s="1"/>
  <c r="H1836" i="5"/>
  <c r="F1836" i="5"/>
  <c r="I1980" i="5"/>
  <c r="H1980" i="5"/>
  <c r="E1980" i="5"/>
  <c r="X1980" i="5" s="1"/>
  <c r="F1980" i="5"/>
  <c r="R1980" i="5"/>
  <c r="J1980" i="5"/>
  <c r="E2172" i="5"/>
  <c r="X2172" i="5" s="1"/>
  <c r="R2172" i="5"/>
  <c r="J2172" i="5"/>
  <c r="H2172" i="5"/>
  <c r="I2172" i="5"/>
  <c r="F2172" i="5"/>
  <c r="R2244" i="5"/>
  <c r="J2244" i="5"/>
  <c r="I2244" i="5"/>
  <c r="F2244" i="5"/>
  <c r="E2244" i="5"/>
  <c r="X2244" i="5" s="1"/>
  <c r="H2244" i="5"/>
  <c r="E2292" i="5"/>
  <c r="X2292" i="5" s="1"/>
  <c r="R2292" i="5"/>
  <c r="I2292" i="5"/>
  <c r="J2292" i="5"/>
  <c r="H2292" i="5"/>
  <c r="F2292" i="5"/>
  <c r="E1177" i="5"/>
  <c r="X1177" i="5" s="1"/>
  <c r="F1177" i="5"/>
  <c r="G1177" i="5"/>
  <c r="R1177" i="5"/>
  <c r="I1177" i="5"/>
  <c r="H1177" i="5"/>
  <c r="J1177" i="5"/>
  <c r="E1309" i="5"/>
  <c r="X1309" i="5" s="1"/>
  <c r="J1309" i="5"/>
  <c r="I1309" i="5"/>
  <c r="F1309" i="5"/>
  <c r="H1309" i="5"/>
  <c r="R1309" i="5"/>
  <c r="R1369" i="5"/>
  <c r="F1369" i="5"/>
  <c r="E1369" i="5"/>
  <c r="X1369" i="5" s="1"/>
  <c r="J1369" i="5"/>
  <c r="H1369" i="5"/>
  <c r="I1369" i="5"/>
  <c r="E1429" i="5"/>
  <c r="X1429" i="5" s="1"/>
  <c r="F1429" i="5"/>
  <c r="I1429" i="5"/>
  <c r="H1429" i="5"/>
  <c r="R1429" i="5"/>
  <c r="J1429" i="5"/>
  <c r="E1513" i="5"/>
  <c r="X1513" i="5" s="1"/>
  <c r="F1513" i="5"/>
  <c r="H1513" i="5"/>
  <c r="R1513" i="5"/>
  <c r="J1513" i="5"/>
  <c r="I1513" i="5"/>
  <c r="E1729" i="5"/>
  <c r="X1729" i="5" s="1"/>
  <c r="H1729" i="5"/>
  <c r="I1729" i="5"/>
  <c r="R1729" i="5"/>
  <c r="J1729" i="5"/>
  <c r="F1729" i="5"/>
  <c r="E1801" i="5"/>
  <c r="X1801" i="5" s="1"/>
  <c r="R1801" i="5"/>
  <c r="H1801" i="5"/>
  <c r="J1801" i="5"/>
  <c r="I1801" i="5"/>
  <c r="F1801" i="5"/>
  <c r="R1909" i="5"/>
  <c r="I1909" i="5"/>
  <c r="F1909" i="5"/>
  <c r="E1909" i="5"/>
  <c r="X1909" i="5" s="1"/>
  <c r="J1909" i="5"/>
  <c r="H1909" i="5"/>
  <c r="R2017" i="5"/>
  <c r="E2017" i="5"/>
  <c r="X2017" i="5" s="1"/>
  <c r="H2017" i="5"/>
  <c r="F2017" i="5"/>
  <c r="I2017" i="5"/>
  <c r="J2017" i="5"/>
  <c r="F2137" i="5"/>
  <c r="H2137" i="5"/>
  <c r="E2137" i="5"/>
  <c r="X2137" i="5" s="1"/>
  <c r="I2137" i="5"/>
  <c r="R2137" i="5"/>
  <c r="J2137" i="5"/>
  <c r="F2257" i="5"/>
  <c r="H2257" i="5"/>
  <c r="J2257" i="5"/>
  <c r="R2257" i="5"/>
  <c r="E2257" i="5"/>
  <c r="X2257" i="5" s="1"/>
  <c r="I2257" i="5"/>
  <c r="E2401" i="5"/>
  <c r="X2401" i="5" s="1"/>
  <c r="F2401" i="5"/>
  <c r="R2401" i="5"/>
  <c r="H2401" i="5"/>
  <c r="I2401" i="5"/>
  <c r="J2401" i="5"/>
  <c r="H1316" i="5"/>
  <c r="E1316" i="5"/>
  <c r="X1316" i="5" s="1"/>
  <c r="R1316" i="5"/>
  <c r="J1316" i="5"/>
  <c r="F1316" i="5"/>
  <c r="I1316" i="5"/>
  <c r="E2423" i="5"/>
  <c r="X2423" i="5" s="1"/>
  <c r="I2423" i="5"/>
  <c r="H2423" i="5"/>
  <c r="F2423" i="5"/>
  <c r="R2423" i="5"/>
  <c r="J2423" i="5"/>
  <c r="E1343" i="5"/>
  <c r="X1343" i="5" s="1"/>
  <c r="H1343" i="5"/>
  <c r="R1343" i="5"/>
  <c r="J1343" i="5"/>
  <c r="I1343" i="5"/>
  <c r="F1343" i="5"/>
  <c r="E1847" i="5"/>
  <c r="X1847" i="5" s="1"/>
  <c r="F1847" i="5"/>
  <c r="J1847" i="5"/>
  <c r="H1847" i="5"/>
  <c r="R1847" i="5"/>
  <c r="G1847" i="5"/>
  <c r="I1847" i="5"/>
  <c r="E2002" i="5"/>
  <c r="X2002" i="5" s="1"/>
  <c r="R2002" i="5"/>
  <c r="J2002" i="5"/>
  <c r="I2002" i="5"/>
  <c r="H2002" i="5"/>
  <c r="F2002" i="5"/>
  <c r="E1319" i="5"/>
  <c r="X1319" i="5" s="1"/>
  <c r="R1319" i="5"/>
  <c r="J1319" i="5"/>
  <c r="I1319" i="5"/>
  <c r="F1319" i="5"/>
  <c r="H1319" i="5"/>
  <c r="E1439" i="5"/>
  <c r="X1439" i="5" s="1"/>
  <c r="I1439" i="5"/>
  <c r="F1439" i="5"/>
  <c r="J1439" i="5"/>
  <c r="R1439" i="5"/>
  <c r="H1439" i="5"/>
  <c r="E1511" i="5"/>
  <c r="X1511" i="5" s="1"/>
  <c r="H1511" i="5"/>
  <c r="I1511" i="5"/>
  <c r="J1511" i="5"/>
  <c r="F1511" i="5"/>
  <c r="R1511" i="5"/>
  <c r="E1595" i="5"/>
  <c r="X1595" i="5" s="1"/>
  <c r="I1595" i="5"/>
  <c r="J1595" i="5"/>
  <c r="H1595" i="5"/>
  <c r="F1595" i="5"/>
  <c r="R1595" i="5"/>
  <c r="E1655" i="5"/>
  <c r="X1655" i="5" s="1"/>
  <c r="H1655" i="5"/>
  <c r="F1655" i="5"/>
  <c r="R1655" i="5"/>
  <c r="J1655" i="5"/>
  <c r="I1655" i="5"/>
  <c r="E1811" i="5"/>
  <c r="X1811" i="5" s="1"/>
  <c r="F1811" i="5"/>
  <c r="R1811" i="5"/>
  <c r="I1811" i="5"/>
  <c r="J1811" i="5"/>
  <c r="H1811" i="5"/>
  <c r="G1811" i="5"/>
  <c r="F1979" i="5"/>
  <c r="J1979" i="5"/>
  <c r="R1979" i="5"/>
  <c r="I1979" i="5"/>
  <c r="H1979" i="5"/>
  <c r="E1979" i="5"/>
  <c r="X1979" i="5" s="1"/>
  <c r="I2147" i="5"/>
  <c r="H2147" i="5"/>
  <c r="F2147" i="5"/>
  <c r="R2147" i="5"/>
  <c r="E2147" i="5"/>
  <c r="X2147" i="5" s="1"/>
  <c r="J2147" i="5"/>
  <c r="F2327" i="5"/>
  <c r="I2327" i="5"/>
  <c r="H2327" i="5"/>
  <c r="E2327" i="5"/>
  <c r="X2327" i="5" s="1"/>
  <c r="R2327" i="5"/>
  <c r="J2327" i="5"/>
  <c r="I1260" i="5"/>
  <c r="H1260" i="5"/>
  <c r="E1260" i="5"/>
  <c r="X1260" i="5" s="1"/>
  <c r="R1260" i="5"/>
  <c r="J1260" i="5"/>
  <c r="G1260" i="5"/>
  <c r="F1260" i="5"/>
  <c r="E1644" i="5"/>
  <c r="X1644" i="5" s="1"/>
  <c r="F1644" i="5"/>
  <c r="I1644" i="5"/>
  <c r="R1644" i="5"/>
  <c r="H1644" i="5"/>
  <c r="J1644" i="5"/>
  <c r="E1896" i="5"/>
  <c r="X1896" i="5" s="1"/>
  <c r="G1896" i="5"/>
  <c r="J1896" i="5"/>
  <c r="R1896" i="5"/>
  <c r="I1896" i="5"/>
  <c r="H1896" i="5"/>
  <c r="F1896" i="5"/>
  <c r="E2316" i="5"/>
  <c r="X2316" i="5" s="1"/>
  <c r="I2316" i="5"/>
  <c r="R2316" i="5"/>
  <c r="J2316" i="5"/>
  <c r="H2316" i="5"/>
  <c r="F2316" i="5"/>
  <c r="E1249" i="5"/>
  <c r="X1249" i="5" s="1"/>
  <c r="F1249" i="5"/>
  <c r="R1249" i="5"/>
  <c r="I1249" i="5"/>
  <c r="G1249" i="5"/>
  <c r="H1249" i="5"/>
  <c r="J1249" i="5"/>
  <c r="E1381" i="5"/>
  <c r="X1381" i="5" s="1"/>
  <c r="I1381" i="5"/>
  <c r="R1381" i="5"/>
  <c r="J1381" i="5"/>
  <c r="H1381" i="5"/>
  <c r="F1381" i="5"/>
  <c r="G1429" i="5"/>
  <c r="G1513" i="5"/>
  <c r="G1801" i="5"/>
  <c r="I2209" i="5"/>
  <c r="J2209" i="5"/>
  <c r="R2209" i="5"/>
  <c r="H2209" i="5"/>
  <c r="E2209" i="5"/>
  <c r="X2209" i="5" s="1"/>
  <c r="F2209" i="5"/>
  <c r="E2341" i="5"/>
  <c r="X2341" i="5" s="1"/>
  <c r="R2341" i="5"/>
  <c r="J2341" i="5"/>
  <c r="I2341" i="5"/>
  <c r="F2341" i="5"/>
  <c r="H2341" i="5"/>
  <c r="E1592" i="5"/>
  <c r="X1592" i="5" s="1"/>
  <c r="H1592" i="5"/>
  <c r="F1592" i="5"/>
  <c r="R1592" i="5"/>
  <c r="J1592" i="5"/>
  <c r="I1592" i="5"/>
  <c r="E2290" i="5"/>
  <c r="X2290" i="5" s="1"/>
  <c r="H2290" i="5"/>
  <c r="F2290" i="5"/>
  <c r="R2290" i="5"/>
  <c r="J2290" i="5"/>
  <c r="I2290" i="5"/>
  <c r="J1524" i="5"/>
  <c r="R1524" i="5"/>
  <c r="H1524" i="5"/>
  <c r="F1524" i="5"/>
  <c r="I1524" i="5"/>
  <c r="E1524" i="5"/>
  <c r="X1524" i="5" s="1"/>
  <c r="E1405" i="5"/>
  <c r="X1405" i="5" s="1"/>
  <c r="J1405" i="5"/>
  <c r="F1405" i="5"/>
  <c r="G1405" i="5"/>
  <c r="I1405" i="5"/>
  <c r="H1405" i="5"/>
  <c r="R1405" i="5"/>
  <c r="E1620" i="5"/>
  <c r="X1620" i="5" s="1"/>
  <c r="R1620" i="5"/>
  <c r="H1620" i="5"/>
  <c r="F1620" i="5"/>
  <c r="I1620" i="5"/>
  <c r="J1620" i="5"/>
  <c r="R2148" i="5"/>
  <c r="J2148" i="5"/>
  <c r="I2148" i="5"/>
  <c r="H2148" i="5"/>
  <c r="F2148" i="5"/>
  <c r="E2148" i="5"/>
  <c r="X2148" i="5" s="1"/>
  <c r="E1547" i="5"/>
  <c r="X1547" i="5" s="1"/>
  <c r="F1547" i="5"/>
  <c r="R1547" i="5"/>
  <c r="I1547" i="5"/>
  <c r="H1547" i="5"/>
  <c r="J1547" i="5"/>
  <c r="E2123" i="5"/>
  <c r="X2123" i="5" s="1"/>
  <c r="H2123" i="5"/>
  <c r="F2123" i="5"/>
  <c r="R2123" i="5"/>
  <c r="I2123" i="5"/>
  <c r="J2123" i="5"/>
  <c r="E1176" i="5"/>
  <c r="X1176" i="5" s="1"/>
  <c r="H1176" i="5"/>
  <c r="G1176" i="5"/>
  <c r="R1176" i="5"/>
  <c r="I1176" i="5"/>
  <c r="F1176" i="5"/>
  <c r="J1176" i="5"/>
  <c r="E1680" i="5"/>
  <c r="X1680" i="5" s="1"/>
  <c r="F1680" i="5"/>
  <c r="J1680" i="5"/>
  <c r="I1680" i="5"/>
  <c r="H1680" i="5"/>
  <c r="R1680" i="5"/>
  <c r="E1897" i="5"/>
  <c r="X1897" i="5" s="1"/>
  <c r="I1897" i="5"/>
  <c r="F1897" i="5"/>
  <c r="R1897" i="5"/>
  <c r="J1897" i="5"/>
  <c r="H1897" i="5"/>
  <c r="E2432" i="5"/>
  <c r="X2432" i="5" s="1"/>
  <c r="J2432" i="5"/>
  <c r="H2432" i="5"/>
  <c r="F2432" i="5"/>
  <c r="R2432" i="5"/>
  <c r="I2432" i="5"/>
  <c r="E1414" i="5"/>
  <c r="X1414" i="5" s="1"/>
  <c r="H1414" i="5"/>
  <c r="I1414" i="5"/>
  <c r="R1414" i="5"/>
  <c r="G1414" i="5"/>
  <c r="F1414" i="5"/>
  <c r="J1414" i="5"/>
  <c r="E1187" i="5"/>
  <c r="X1187" i="5" s="1"/>
  <c r="F1187" i="5"/>
  <c r="H1187" i="5"/>
  <c r="R1187" i="5"/>
  <c r="J1187" i="5"/>
  <c r="I1187" i="5"/>
  <c r="G1319" i="5"/>
  <c r="E1379" i="5"/>
  <c r="X1379" i="5" s="1"/>
  <c r="J1379" i="5"/>
  <c r="F1379" i="5"/>
  <c r="I1379" i="5"/>
  <c r="R1379" i="5"/>
  <c r="H1379" i="5"/>
  <c r="G1511" i="5"/>
  <c r="E1823" i="5"/>
  <c r="X1823" i="5" s="1"/>
  <c r="I1823" i="5"/>
  <c r="H1823" i="5"/>
  <c r="F1823" i="5"/>
  <c r="R1823" i="5"/>
  <c r="J1823" i="5"/>
  <c r="E1895" i="5"/>
  <c r="X1895" i="5" s="1"/>
  <c r="H1895" i="5"/>
  <c r="F1895" i="5"/>
  <c r="J1895" i="5"/>
  <c r="I1895" i="5"/>
  <c r="R1895" i="5"/>
  <c r="I2075" i="5"/>
  <c r="H2075" i="5"/>
  <c r="R2075" i="5"/>
  <c r="J2075" i="5"/>
  <c r="F2075" i="5"/>
  <c r="E2075" i="5"/>
  <c r="X2075" i="5" s="1"/>
  <c r="G2147" i="5"/>
  <c r="E2231" i="5"/>
  <c r="X2231" i="5" s="1"/>
  <c r="I2231" i="5"/>
  <c r="H2231" i="5"/>
  <c r="F2231" i="5"/>
  <c r="R2231" i="5"/>
  <c r="J2231" i="5"/>
  <c r="G2327" i="5"/>
  <c r="H1404" i="5"/>
  <c r="R1404" i="5"/>
  <c r="J1404" i="5"/>
  <c r="I1404" i="5"/>
  <c r="G1404" i="5"/>
  <c r="E1404" i="5"/>
  <c r="X1404" i="5" s="1"/>
  <c r="F1404" i="5"/>
  <c r="F1488" i="5"/>
  <c r="H1488" i="5"/>
  <c r="R1488" i="5"/>
  <c r="J1488" i="5"/>
  <c r="I1488" i="5"/>
  <c r="E1488" i="5"/>
  <c r="X1488" i="5" s="1"/>
  <c r="E1584" i="5"/>
  <c r="X1584" i="5" s="1"/>
  <c r="J1584" i="5"/>
  <c r="I1584" i="5"/>
  <c r="R1584" i="5"/>
  <c r="H1584" i="5"/>
  <c r="F1584" i="5"/>
  <c r="E1656" i="5"/>
  <c r="X1656" i="5" s="1"/>
  <c r="F1656" i="5"/>
  <c r="J1656" i="5"/>
  <c r="I1656" i="5"/>
  <c r="H1656" i="5"/>
  <c r="R1656" i="5"/>
  <c r="J1764" i="5"/>
  <c r="I1764" i="5"/>
  <c r="F1764" i="5"/>
  <c r="H1764" i="5"/>
  <c r="R1764" i="5"/>
  <c r="E1764" i="5"/>
  <c r="X1764" i="5" s="1"/>
  <c r="I1848" i="5"/>
  <c r="E1848" i="5"/>
  <c r="X1848" i="5" s="1"/>
  <c r="F1848" i="5"/>
  <c r="R1848" i="5"/>
  <c r="H1848" i="5"/>
  <c r="J1848" i="5"/>
  <c r="G1908" i="5"/>
  <c r="H2004" i="5"/>
  <c r="F2004" i="5"/>
  <c r="E2004" i="5"/>
  <c r="X2004" i="5" s="1"/>
  <c r="J2004" i="5"/>
  <c r="I2004" i="5"/>
  <c r="R2004" i="5"/>
  <c r="E2184" i="5"/>
  <c r="X2184" i="5" s="1"/>
  <c r="F2184" i="5"/>
  <c r="J2184" i="5"/>
  <c r="H2184" i="5"/>
  <c r="R2184" i="5"/>
  <c r="I2184" i="5"/>
  <c r="E2388" i="5"/>
  <c r="X2388" i="5" s="1"/>
  <c r="F2388" i="5"/>
  <c r="J2388" i="5"/>
  <c r="I2388" i="5"/>
  <c r="R2388" i="5"/>
  <c r="G2388" i="5"/>
  <c r="H2388" i="5"/>
  <c r="G2496" i="5"/>
  <c r="E1321" i="5"/>
  <c r="X1321" i="5" s="1"/>
  <c r="J1321" i="5"/>
  <c r="F1321" i="5"/>
  <c r="I1321" i="5"/>
  <c r="H1321" i="5"/>
  <c r="R1321" i="5"/>
  <c r="G1381" i="5"/>
  <c r="E1537" i="5"/>
  <c r="X1537" i="5" s="1"/>
  <c r="J1537" i="5"/>
  <c r="I1537" i="5"/>
  <c r="R1537" i="5"/>
  <c r="H1537" i="5"/>
  <c r="F1537" i="5"/>
  <c r="E1681" i="5"/>
  <c r="X1681" i="5" s="1"/>
  <c r="R1681" i="5"/>
  <c r="F1681" i="5"/>
  <c r="I1681" i="5"/>
  <c r="H1681" i="5"/>
  <c r="J1681" i="5"/>
  <c r="H1921" i="5"/>
  <c r="J1921" i="5"/>
  <c r="G1921" i="5"/>
  <c r="F1921" i="5"/>
  <c r="E1921" i="5"/>
  <c r="X1921" i="5" s="1"/>
  <c r="R1921" i="5"/>
  <c r="I1921" i="5"/>
  <c r="E2029" i="5"/>
  <c r="X2029" i="5" s="1"/>
  <c r="F2029" i="5"/>
  <c r="J2029" i="5"/>
  <c r="R2029" i="5"/>
  <c r="I2029" i="5"/>
  <c r="H2029" i="5"/>
  <c r="R2089" i="5"/>
  <c r="F2089" i="5"/>
  <c r="I2089" i="5"/>
  <c r="H2089" i="5"/>
  <c r="J2089" i="5"/>
  <c r="E2089" i="5"/>
  <c r="X2089" i="5" s="1"/>
  <c r="E2161" i="5"/>
  <c r="X2161" i="5" s="1"/>
  <c r="H2161" i="5"/>
  <c r="F2161" i="5"/>
  <c r="J2161" i="5"/>
  <c r="R2161" i="5"/>
  <c r="I2161" i="5"/>
  <c r="E2293" i="5"/>
  <c r="X2293" i="5" s="1"/>
  <c r="J2293" i="5"/>
  <c r="G2293" i="5"/>
  <c r="R2293" i="5"/>
  <c r="H2293" i="5"/>
  <c r="F2293" i="5"/>
  <c r="I2293" i="5"/>
  <c r="R2413" i="5"/>
  <c r="E2413" i="5"/>
  <c r="X2413" i="5" s="1"/>
  <c r="H2413" i="5"/>
  <c r="J2413" i="5"/>
  <c r="I2413" i="5"/>
  <c r="F2413" i="5"/>
  <c r="G2413" i="5"/>
  <c r="E2039" i="5"/>
  <c r="X2039" i="5" s="1"/>
  <c r="I2039" i="5"/>
  <c r="F2039" i="5"/>
  <c r="J2039" i="5"/>
  <c r="H2039" i="5"/>
  <c r="G2039" i="5"/>
  <c r="R2039" i="5"/>
  <c r="E2472" i="5"/>
  <c r="X2472" i="5" s="1"/>
  <c r="R2472" i="5"/>
  <c r="H2472" i="5"/>
  <c r="I2472" i="5"/>
  <c r="F2472" i="5"/>
  <c r="J2472" i="5"/>
  <c r="H2245" i="5"/>
  <c r="F2245" i="5"/>
  <c r="I2245" i="5"/>
  <c r="R2245" i="5"/>
  <c r="J2245" i="5"/>
  <c r="E2245" i="5"/>
  <c r="X2245" i="5" s="1"/>
  <c r="E1292" i="5"/>
  <c r="X1292" i="5" s="1"/>
  <c r="J1292" i="5"/>
  <c r="R1292" i="5"/>
  <c r="I1292" i="5"/>
  <c r="H1292" i="5"/>
  <c r="F1292" i="5"/>
  <c r="G2432" i="5"/>
  <c r="G1439" i="5"/>
  <c r="E1667" i="5"/>
  <c r="X1667" i="5" s="1"/>
  <c r="J1667" i="5"/>
  <c r="I1667" i="5"/>
  <c r="H1667" i="5"/>
  <c r="R1667" i="5"/>
  <c r="F1667" i="5"/>
  <c r="G1823" i="5"/>
  <c r="E1907" i="5"/>
  <c r="X1907" i="5" s="1"/>
  <c r="H1907" i="5"/>
  <c r="J1907" i="5"/>
  <c r="I1907" i="5"/>
  <c r="F1907" i="5"/>
  <c r="R1907" i="5"/>
  <c r="I2387" i="5"/>
  <c r="E2387" i="5"/>
  <c r="X2387" i="5" s="1"/>
  <c r="F2387" i="5"/>
  <c r="H2387" i="5"/>
  <c r="R2387" i="5"/>
  <c r="J2387" i="5"/>
  <c r="E1272" i="5"/>
  <c r="X1272" i="5" s="1"/>
  <c r="H1272" i="5"/>
  <c r="J1272" i="5"/>
  <c r="R1272" i="5"/>
  <c r="F1272" i="5"/>
  <c r="I1272" i="5"/>
  <c r="F1500" i="5"/>
  <c r="R1500" i="5"/>
  <c r="H1500" i="5"/>
  <c r="J1500" i="5"/>
  <c r="I1500" i="5"/>
  <c r="E1500" i="5"/>
  <c r="X1500" i="5" s="1"/>
  <c r="R1704" i="5"/>
  <c r="I1704" i="5"/>
  <c r="J1704" i="5"/>
  <c r="E1704" i="5"/>
  <c r="X1704" i="5" s="1"/>
  <c r="H1704" i="5"/>
  <c r="F1704" i="5"/>
  <c r="E2112" i="5"/>
  <c r="X2112" i="5" s="1"/>
  <c r="J2112" i="5"/>
  <c r="R2112" i="5"/>
  <c r="I2112" i="5"/>
  <c r="H2112" i="5"/>
  <c r="F2112" i="5"/>
  <c r="G2184" i="5"/>
  <c r="G2316" i="5"/>
  <c r="G1321" i="5"/>
  <c r="G1537" i="5"/>
  <c r="E1609" i="5"/>
  <c r="X1609" i="5" s="1"/>
  <c r="I1609" i="5"/>
  <c r="F1609" i="5"/>
  <c r="R1609" i="5"/>
  <c r="H1609" i="5"/>
  <c r="J1609" i="5"/>
  <c r="E1693" i="5"/>
  <c r="X1693" i="5" s="1"/>
  <c r="R1693" i="5"/>
  <c r="J1693" i="5"/>
  <c r="F1693" i="5"/>
  <c r="I1693" i="5"/>
  <c r="H1693" i="5"/>
  <c r="E1741" i="5"/>
  <c r="X1741" i="5" s="1"/>
  <c r="R1741" i="5"/>
  <c r="H1741" i="5"/>
  <c r="J1741" i="5"/>
  <c r="I1741" i="5"/>
  <c r="F1741" i="5"/>
  <c r="E1861" i="5"/>
  <c r="X1861" i="5" s="1"/>
  <c r="I1861" i="5"/>
  <c r="F1861" i="5"/>
  <c r="R1861" i="5"/>
  <c r="J1861" i="5"/>
  <c r="H1861" i="5"/>
  <c r="J2221" i="5"/>
  <c r="H2221" i="5"/>
  <c r="F2221" i="5"/>
  <c r="I2221" i="5"/>
  <c r="E2221" i="5"/>
  <c r="X2221" i="5" s="1"/>
  <c r="R2221" i="5"/>
  <c r="E2353" i="5"/>
  <c r="X2353" i="5" s="1"/>
  <c r="I2353" i="5"/>
  <c r="J2353" i="5"/>
  <c r="H2353" i="5"/>
  <c r="F2353" i="5"/>
  <c r="R2353" i="5"/>
  <c r="E2485" i="5"/>
  <c r="X2485" i="5" s="1"/>
  <c r="I2485" i="5"/>
  <c r="H2485" i="5"/>
  <c r="F2485" i="5"/>
  <c r="J2485" i="5"/>
  <c r="R2485" i="5"/>
  <c r="E1762" i="5"/>
  <c r="X1762" i="5" s="1"/>
  <c r="H1762" i="5"/>
  <c r="G1762" i="5"/>
  <c r="I1762" i="5"/>
  <c r="F1762" i="5"/>
  <c r="J1762" i="5"/>
  <c r="R1762" i="5"/>
  <c r="E1919" i="5"/>
  <c r="X1919" i="5" s="1"/>
  <c r="I1919" i="5"/>
  <c r="G1919" i="5"/>
  <c r="J1919" i="5"/>
  <c r="H1919" i="5"/>
  <c r="R1919" i="5"/>
  <c r="F1919" i="5"/>
  <c r="E2099" i="5"/>
  <c r="X2099" i="5" s="1"/>
  <c r="I2099" i="5"/>
  <c r="H2099" i="5"/>
  <c r="G2099" i="5"/>
  <c r="R2099" i="5"/>
  <c r="J2099" i="5"/>
  <c r="F2099" i="5"/>
  <c r="E1224" i="5"/>
  <c r="X1224" i="5" s="1"/>
  <c r="H1224" i="5"/>
  <c r="I1224" i="5"/>
  <c r="F1224" i="5"/>
  <c r="J1224" i="5"/>
  <c r="R1224" i="5"/>
  <c r="E1284" i="5"/>
  <c r="X1284" i="5" s="1"/>
  <c r="H1284" i="5"/>
  <c r="R1284" i="5"/>
  <c r="J1284" i="5"/>
  <c r="I1284" i="5"/>
  <c r="F1284" i="5"/>
  <c r="E1657" i="5"/>
  <c r="X1657" i="5" s="1"/>
  <c r="J1657" i="5"/>
  <c r="R1657" i="5"/>
  <c r="I1657" i="5"/>
  <c r="H1657" i="5"/>
  <c r="F1657" i="5"/>
  <c r="H1885" i="5"/>
  <c r="R1885" i="5"/>
  <c r="I1885" i="5"/>
  <c r="J1885" i="5"/>
  <c r="F1885" i="5"/>
  <c r="E1885" i="5"/>
  <c r="X1885" i="5" s="1"/>
  <c r="I2484" i="5"/>
  <c r="R2484" i="5"/>
  <c r="H2484" i="5"/>
  <c r="E2484" i="5"/>
  <c r="X2484" i="5" s="1"/>
  <c r="F2484" i="5"/>
  <c r="J2484" i="5"/>
  <c r="G1524" i="5"/>
  <c r="E1728" i="5"/>
  <c r="X1728" i="5" s="1"/>
  <c r="F1728" i="5"/>
  <c r="H1728" i="5"/>
  <c r="I1728" i="5"/>
  <c r="R1728" i="5"/>
  <c r="J1728" i="5"/>
  <c r="E1573" i="5"/>
  <c r="X1573" i="5" s="1"/>
  <c r="F1573" i="5"/>
  <c r="J1573" i="5"/>
  <c r="H1573" i="5"/>
  <c r="R1573" i="5"/>
  <c r="I1573" i="5"/>
  <c r="H1705" i="5"/>
  <c r="F1705" i="5"/>
  <c r="J1705" i="5"/>
  <c r="R1705" i="5"/>
  <c r="I1705" i="5"/>
  <c r="E1705" i="5"/>
  <c r="X1705" i="5" s="1"/>
  <c r="G1885" i="5"/>
  <c r="E2185" i="5"/>
  <c r="X2185" i="5" s="1"/>
  <c r="F2185" i="5"/>
  <c r="H2185" i="5"/>
  <c r="R2185" i="5"/>
  <c r="I2185" i="5"/>
  <c r="J2185" i="5"/>
  <c r="E1486" i="5"/>
  <c r="X1486" i="5" s="1"/>
  <c r="J1486" i="5"/>
  <c r="I1486" i="5"/>
  <c r="H1486" i="5"/>
  <c r="R1486" i="5"/>
  <c r="F1486" i="5"/>
  <c r="E1631" i="5"/>
  <c r="X1631" i="5" s="1"/>
  <c r="G1631" i="5"/>
  <c r="J1631" i="5"/>
  <c r="I1631" i="5"/>
  <c r="H1631" i="5"/>
  <c r="F1631" i="5"/>
  <c r="R1631" i="5"/>
  <c r="E1715" i="5"/>
  <c r="X1715" i="5" s="1"/>
  <c r="J1715" i="5"/>
  <c r="I1715" i="5"/>
  <c r="H1715" i="5"/>
  <c r="F1715" i="5"/>
  <c r="R1715" i="5"/>
  <c r="E2459" i="5"/>
  <c r="X2459" i="5" s="1"/>
  <c r="F2459" i="5"/>
  <c r="H2459" i="5"/>
  <c r="R2459" i="5"/>
  <c r="J2459" i="5"/>
  <c r="I2459" i="5"/>
  <c r="E1452" i="5"/>
  <c r="X1452" i="5" s="1"/>
  <c r="R1452" i="5"/>
  <c r="J1452" i="5"/>
  <c r="I1452" i="5"/>
  <c r="H1452" i="5"/>
  <c r="F1452" i="5"/>
  <c r="E2160" i="5"/>
  <c r="X2160" i="5" s="1"/>
  <c r="F2160" i="5"/>
  <c r="R2160" i="5"/>
  <c r="H2160" i="5"/>
  <c r="J2160" i="5"/>
  <c r="I2160" i="5"/>
  <c r="E1489" i="5"/>
  <c r="X1489" i="5" s="1"/>
  <c r="J1489" i="5"/>
  <c r="H1489" i="5"/>
  <c r="G1489" i="5"/>
  <c r="R1489" i="5"/>
  <c r="F1489" i="5"/>
  <c r="I1489" i="5"/>
  <c r="E2389" i="5"/>
  <c r="X2389" i="5" s="1"/>
  <c r="J2389" i="5"/>
  <c r="H2389" i="5"/>
  <c r="F2389" i="5"/>
  <c r="R2389" i="5"/>
  <c r="I2389" i="5"/>
  <c r="E1630" i="5"/>
  <c r="X1630" i="5" s="1"/>
  <c r="I1630" i="5"/>
  <c r="H1630" i="5"/>
  <c r="J1630" i="5"/>
  <c r="R1630" i="5"/>
  <c r="F1630" i="5"/>
  <c r="E1870" i="5"/>
  <c r="X1870" i="5" s="1"/>
  <c r="I1870" i="5"/>
  <c r="H1870" i="5"/>
  <c r="F1870" i="5"/>
  <c r="J1870" i="5"/>
  <c r="R1870" i="5"/>
  <c r="R2158" i="5"/>
  <c r="H2158" i="5"/>
  <c r="I2158" i="5"/>
  <c r="E2158" i="5"/>
  <c r="X2158" i="5" s="1"/>
  <c r="F2158" i="5"/>
  <c r="J2158" i="5"/>
  <c r="E2064" i="5"/>
  <c r="X2064" i="5" s="1"/>
  <c r="F2064" i="5"/>
  <c r="J2064" i="5"/>
  <c r="G2064" i="5"/>
  <c r="I2064" i="5"/>
  <c r="R2064" i="5"/>
  <c r="H2064" i="5"/>
  <c r="G2158" i="5"/>
  <c r="E1331" i="5"/>
  <c r="X1331" i="5" s="1"/>
  <c r="J1331" i="5"/>
  <c r="F1331" i="5"/>
  <c r="I1331" i="5"/>
  <c r="H1331" i="5"/>
  <c r="R1331" i="5"/>
  <c r="E1523" i="5"/>
  <c r="X1523" i="5" s="1"/>
  <c r="I1523" i="5"/>
  <c r="F1523" i="5"/>
  <c r="R1523" i="5"/>
  <c r="J1523" i="5"/>
  <c r="G1523" i="5"/>
  <c r="H1523" i="5"/>
  <c r="E1607" i="5"/>
  <c r="X1607" i="5" s="1"/>
  <c r="I1607" i="5"/>
  <c r="H1607" i="5"/>
  <c r="F1607" i="5"/>
  <c r="R1607" i="5"/>
  <c r="J1607" i="5"/>
  <c r="E1763" i="5"/>
  <c r="X1763" i="5" s="1"/>
  <c r="I1763" i="5"/>
  <c r="J1763" i="5"/>
  <c r="H1763" i="5"/>
  <c r="F1763" i="5"/>
  <c r="R1763" i="5"/>
  <c r="R2003" i="5"/>
  <c r="J2003" i="5"/>
  <c r="E2003" i="5"/>
  <c r="X2003" i="5" s="1"/>
  <c r="I2003" i="5"/>
  <c r="H2003" i="5"/>
  <c r="F2003" i="5"/>
  <c r="E2159" i="5"/>
  <c r="X2159" i="5" s="1"/>
  <c r="I2159" i="5"/>
  <c r="H2159" i="5"/>
  <c r="F2159" i="5"/>
  <c r="J2159" i="5"/>
  <c r="R2159" i="5"/>
  <c r="R2243" i="5"/>
  <c r="I2243" i="5"/>
  <c r="H2243" i="5"/>
  <c r="E2243" i="5"/>
  <c r="X2243" i="5" s="1"/>
  <c r="F2243" i="5"/>
  <c r="J2243" i="5"/>
  <c r="E2339" i="5"/>
  <c r="X2339" i="5" s="1"/>
  <c r="H2339" i="5"/>
  <c r="F2339" i="5"/>
  <c r="J2339" i="5"/>
  <c r="I2339" i="5"/>
  <c r="R2339" i="5"/>
  <c r="G2339" i="5"/>
  <c r="G2423" i="5"/>
  <c r="G1272" i="5"/>
  <c r="E1344" i="5"/>
  <c r="X1344" i="5" s="1"/>
  <c r="R1344" i="5"/>
  <c r="H1344" i="5"/>
  <c r="F1344" i="5"/>
  <c r="J1344" i="5"/>
  <c r="I1344" i="5"/>
  <c r="E1416" i="5"/>
  <c r="X1416" i="5" s="1"/>
  <c r="J1416" i="5"/>
  <c r="H1416" i="5"/>
  <c r="F1416" i="5"/>
  <c r="R1416" i="5"/>
  <c r="G1416" i="5"/>
  <c r="I1416" i="5"/>
  <c r="G1500" i="5"/>
  <c r="E1596" i="5"/>
  <c r="X1596" i="5" s="1"/>
  <c r="J1596" i="5"/>
  <c r="H1596" i="5"/>
  <c r="F1596" i="5"/>
  <c r="G1596" i="5"/>
  <c r="I1596" i="5"/>
  <c r="R1596" i="5"/>
  <c r="G1656" i="5"/>
  <c r="F1716" i="5"/>
  <c r="E1716" i="5"/>
  <c r="X1716" i="5" s="1"/>
  <c r="H1716" i="5"/>
  <c r="I1716" i="5"/>
  <c r="R1716" i="5"/>
  <c r="J1716" i="5"/>
  <c r="E1788" i="5"/>
  <c r="X1788" i="5" s="1"/>
  <c r="J1788" i="5"/>
  <c r="I1788" i="5"/>
  <c r="F1788" i="5"/>
  <c r="R1788" i="5"/>
  <c r="H1788" i="5"/>
  <c r="E1860" i="5"/>
  <c r="X1860" i="5" s="1"/>
  <c r="R1860" i="5"/>
  <c r="J1860" i="5"/>
  <c r="I1860" i="5"/>
  <c r="H1860" i="5"/>
  <c r="F1860" i="5"/>
  <c r="E1261" i="5"/>
  <c r="X1261" i="5" s="1"/>
  <c r="I1261" i="5"/>
  <c r="F1261" i="5"/>
  <c r="R1261" i="5"/>
  <c r="J1261" i="5"/>
  <c r="H1261" i="5"/>
  <c r="E1441" i="5"/>
  <c r="X1441" i="5" s="1"/>
  <c r="H1441" i="5"/>
  <c r="F1441" i="5"/>
  <c r="R1441" i="5"/>
  <c r="I1441" i="5"/>
  <c r="J1441" i="5"/>
  <c r="G1609" i="5"/>
  <c r="G1861" i="5"/>
  <c r="E2305" i="5"/>
  <c r="X2305" i="5" s="1"/>
  <c r="H2305" i="5"/>
  <c r="R2305" i="5"/>
  <c r="F2305" i="5"/>
  <c r="I2305" i="5"/>
  <c r="J2305" i="5"/>
  <c r="E2425" i="5"/>
  <c r="X2425" i="5" s="1"/>
  <c r="H2425" i="5"/>
  <c r="R2425" i="5"/>
  <c r="F2425" i="5"/>
  <c r="J2425" i="5"/>
  <c r="I2425" i="5"/>
  <c r="G2425" i="5"/>
  <c r="E1856" i="5"/>
  <c r="X1856" i="5" s="1"/>
  <c r="I1856" i="5"/>
  <c r="H1856" i="5"/>
  <c r="F1856" i="5"/>
  <c r="J1856" i="5"/>
  <c r="R1856" i="5"/>
  <c r="E1403" i="5"/>
  <c r="X1403" i="5" s="1"/>
  <c r="F1403" i="5"/>
  <c r="H1403" i="5"/>
  <c r="J1403" i="5"/>
  <c r="R1403" i="5"/>
  <c r="I1403" i="5"/>
  <c r="E2448" i="5"/>
  <c r="X2448" i="5" s="1"/>
  <c r="J2448" i="5"/>
  <c r="F2448" i="5"/>
  <c r="G2448" i="5"/>
  <c r="I2448" i="5"/>
  <c r="H2448" i="5"/>
  <c r="R2448" i="5"/>
  <c r="F1945" i="5"/>
  <c r="R1945" i="5"/>
  <c r="E1945" i="5"/>
  <c r="X1945" i="5" s="1"/>
  <c r="I1945" i="5"/>
  <c r="H1945" i="5"/>
  <c r="J1945" i="5"/>
  <c r="I1740" i="5"/>
  <c r="R1740" i="5"/>
  <c r="E1740" i="5"/>
  <c r="X1740" i="5" s="1"/>
  <c r="H1740" i="5"/>
  <c r="J1740" i="5"/>
  <c r="G1740" i="5"/>
  <c r="F1740" i="5"/>
  <c r="G2352" i="5"/>
  <c r="G1657" i="5"/>
  <c r="E2065" i="5"/>
  <c r="X2065" i="5" s="1"/>
  <c r="F2065" i="5"/>
  <c r="R2065" i="5"/>
  <c r="J2065" i="5"/>
  <c r="H2065" i="5"/>
  <c r="G2065" i="5"/>
  <c r="I2065" i="5"/>
  <c r="H2449" i="5"/>
  <c r="F2449" i="5"/>
  <c r="E2449" i="5"/>
  <c r="X2449" i="5" s="1"/>
  <c r="R2449" i="5"/>
  <c r="J2449" i="5"/>
  <c r="I2449" i="5"/>
  <c r="E1772" i="5"/>
  <c r="X1772" i="5" s="1"/>
  <c r="F1772" i="5"/>
  <c r="R1772" i="5"/>
  <c r="H1772" i="5"/>
  <c r="J1772" i="5"/>
  <c r="I1772" i="5"/>
  <c r="E2108" i="5"/>
  <c r="X2108" i="5" s="1"/>
  <c r="I2108" i="5"/>
  <c r="R2108" i="5"/>
  <c r="F2108" i="5"/>
  <c r="H2108" i="5"/>
  <c r="J2108" i="5"/>
  <c r="E1186" i="5"/>
  <c r="X1186" i="5" s="1"/>
  <c r="J1186" i="5"/>
  <c r="R1186" i="5"/>
  <c r="H1186" i="5"/>
  <c r="I1186" i="5"/>
  <c r="F1186" i="5"/>
  <c r="E1294" i="5"/>
  <c r="X1294" i="5" s="1"/>
  <c r="G1294" i="5"/>
  <c r="R1294" i="5"/>
  <c r="J1294" i="5"/>
  <c r="I1294" i="5"/>
  <c r="H1294" i="5"/>
  <c r="F1294" i="5"/>
  <c r="G2290" i="5"/>
  <c r="E1199" i="5"/>
  <c r="X1199" i="5" s="1"/>
  <c r="I1199" i="5"/>
  <c r="F1199" i="5"/>
  <c r="R1199" i="5"/>
  <c r="J1199" i="5"/>
  <c r="H1199" i="5"/>
  <c r="E1391" i="5"/>
  <c r="X1391" i="5" s="1"/>
  <c r="I1391" i="5"/>
  <c r="H1391" i="5"/>
  <c r="J1391" i="5"/>
  <c r="R1391" i="5"/>
  <c r="F1391" i="5"/>
  <c r="E1451" i="5"/>
  <c r="X1451" i="5" s="1"/>
  <c r="J1451" i="5"/>
  <c r="H1451" i="5"/>
  <c r="I1451" i="5"/>
  <c r="F1451" i="5"/>
  <c r="R1451" i="5"/>
  <c r="E1691" i="5"/>
  <c r="X1691" i="5" s="1"/>
  <c r="R1691" i="5"/>
  <c r="J1691" i="5"/>
  <c r="I1691" i="5"/>
  <c r="H1691" i="5"/>
  <c r="F1691" i="5"/>
  <c r="G1691" i="5"/>
  <c r="E1775" i="5"/>
  <c r="X1775" i="5" s="1"/>
  <c r="H1775" i="5"/>
  <c r="F1775" i="5"/>
  <c r="R1775" i="5"/>
  <c r="J1775" i="5"/>
  <c r="I1775" i="5"/>
  <c r="G1907" i="5"/>
  <c r="E2087" i="5"/>
  <c r="X2087" i="5" s="1"/>
  <c r="R2087" i="5"/>
  <c r="F2087" i="5"/>
  <c r="I2087" i="5"/>
  <c r="H2087" i="5"/>
  <c r="J2087" i="5"/>
  <c r="I2351" i="5"/>
  <c r="H2351" i="5"/>
  <c r="E2351" i="5"/>
  <c r="X2351" i="5" s="1"/>
  <c r="J2351" i="5"/>
  <c r="F2351" i="5"/>
  <c r="R2351" i="5"/>
  <c r="E1440" i="5"/>
  <c r="X1440" i="5" s="1"/>
  <c r="J1440" i="5"/>
  <c r="R1440" i="5"/>
  <c r="H1440" i="5"/>
  <c r="I1440" i="5"/>
  <c r="F1440" i="5"/>
  <c r="I1932" i="5"/>
  <c r="E1932" i="5"/>
  <c r="X1932" i="5" s="1"/>
  <c r="H1932" i="5"/>
  <c r="R1932" i="5"/>
  <c r="F1932" i="5"/>
  <c r="J1932" i="5"/>
  <c r="E2016" i="5"/>
  <c r="X2016" i="5" s="1"/>
  <c r="R2016" i="5"/>
  <c r="J2016" i="5"/>
  <c r="I2016" i="5"/>
  <c r="F2016" i="5"/>
  <c r="H2016" i="5"/>
  <c r="E2328" i="5"/>
  <c r="X2328" i="5" s="1"/>
  <c r="I2328" i="5"/>
  <c r="R2328" i="5"/>
  <c r="F2328" i="5"/>
  <c r="J2328" i="5"/>
  <c r="H2328" i="5"/>
  <c r="E1213" i="5"/>
  <c r="X1213" i="5" s="1"/>
  <c r="R1213" i="5"/>
  <c r="F1213" i="5"/>
  <c r="J1213" i="5"/>
  <c r="I1213" i="5"/>
  <c r="H1213" i="5"/>
  <c r="E1393" i="5"/>
  <c r="X1393" i="5" s="1"/>
  <c r="J1393" i="5"/>
  <c r="I1393" i="5"/>
  <c r="R1393" i="5"/>
  <c r="H1393" i="5"/>
  <c r="F1393" i="5"/>
  <c r="E1453" i="5"/>
  <c r="X1453" i="5" s="1"/>
  <c r="I1453" i="5"/>
  <c r="H1453" i="5"/>
  <c r="R1453" i="5"/>
  <c r="F1453" i="5"/>
  <c r="J1453" i="5"/>
  <c r="G1693" i="5"/>
  <c r="H2041" i="5"/>
  <c r="I2041" i="5"/>
  <c r="E2041" i="5"/>
  <c r="X2041" i="5" s="1"/>
  <c r="J2041" i="5"/>
  <c r="F2041" i="5"/>
  <c r="R2041" i="5"/>
  <c r="E2101" i="5"/>
  <c r="X2101" i="5" s="1"/>
  <c r="R2101" i="5"/>
  <c r="J2101" i="5"/>
  <c r="I2101" i="5"/>
  <c r="H2101" i="5"/>
  <c r="F2101" i="5"/>
  <c r="E2173" i="5"/>
  <c r="X2173" i="5" s="1"/>
  <c r="R2173" i="5"/>
  <c r="F2173" i="5"/>
  <c r="I2173" i="5"/>
  <c r="H2173" i="5"/>
  <c r="J2173" i="5"/>
  <c r="G2317" i="5"/>
  <c r="F2497" i="5"/>
  <c r="R2497" i="5"/>
  <c r="J2497" i="5"/>
  <c r="I2497" i="5"/>
  <c r="H2497" i="5"/>
  <c r="E2497" i="5"/>
  <c r="G1316" i="5"/>
  <c r="E1580" i="5"/>
  <c r="X1580" i="5" s="1"/>
  <c r="R1580" i="5"/>
  <c r="I1580" i="5"/>
  <c r="F1580" i="5"/>
  <c r="J1580" i="5"/>
  <c r="H1580" i="5"/>
  <c r="E1702" i="5"/>
  <c r="X1702" i="5" s="1"/>
  <c r="I1702" i="5"/>
  <c r="H1702" i="5"/>
  <c r="F1702" i="5"/>
  <c r="R1702" i="5"/>
  <c r="J1702" i="5"/>
  <c r="G1343" i="5"/>
  <c r="E1463" i="5"/>
  <c r="X1463" i="5" s="1"/>
  <c r="R1463" i="5"/>
  <c r="I1463" i="5"/>
  <c r="J1463" i="5"/>
  <c r="G1463" i="5"/>
  <c r="F1463" i="5"/>
  <c r="H1463" i="5"/>
  <c r="G1619" i="5"/>
  <c r="E2171" i="5"/>
  <c r="X2171" i="5" s="1"/>
  <c r="I2171" i="5"/>
  <c r="H2171" i="5"/>
  <c r="F2171" i="5"/>
  <c r="J2171" i="5"/>
  <c r="R2171" i="5"/>
  <c r="G2351" i="5"/>
  <c r="G1164" i="5"/>
  <c r="G1284" i="5"/>
  <c r="G1440" i="5"/>
  <c r="E1668" i="5"/>
  <c r="X1668" i="5" s="1"/>
  <c r="I1668" i="5"/>
  <c r="H1668" i="5"/>
  <c r="J1668" i="5"/>
  <c r="R1668" i="5"/>
  <c r="F1668" i="5"/>
  <c r="E1800" i="5"/>
  <c r="X1800" i="5" s="1"/>
  <c r="J1800" i="5"/>
  <c r="I1800" i="5"/>
  <c r="R1800" i="5"/>
  <c r="F1800" i="5"/>
  <c r="H1800" i="5"/>
  <c r="G1944" i="5"/>
  <c r="H2028" i="5"/>
  <c r="E2028" i="5"/>
  <c r="X2028" i="5" s="1"/>
  <c r="I2028" i="5"/>
  <c r="F2028" i="5"/>
  <c r="R2028" i="5"/>
  <c r="J2028" i="5"/>
  <c r="E2136" i="5"/>
  <c r="X2136" i="5" s="1"/>
  <c r="R2136" i="5"/>
  <c r="J2136" i="5"/>
  <c r="I2136" i="5"/>
  <c r="H2136" i="5"/>
  <c r="F2136" i="5"/>
  <c r="G2136" i="5"/>
  <c r="G2328" i="5"/>
  <c r="F2436" i="5"/>
  <c r="J2436" i="5"/>
  <c r="R2436" i="5"/>
  <c r="E2436" i="5"/>
  <c r="X2436" i="5" s="1"/>
  <c r="I2436" i="5"/>
  <c r="H2436" i="5"/>
  <c r="G1213" i="5"/>
  <c r="G1273" i="5"/>
  <c r="G1393" i="5"/>
  <c r="G1573" i="5"/>
  <c r="E1621" i="5"/>
  <c r="X1621" i="5" s="1"/>
  <c r="I1621" i="5"/>
  <c r="F1621" i="5"/>
  <c r="H1621" i="5"/>
  <c r="J1621" i="5"/>
  <c r="R1621" i="5"/>
  <c r="G1705" i="5"/>
  <c r="R1765" i="5"/>
  <c r="J1765" i="5"/>
  <c r="H1765" i="5"/>
  <c r="I1765" i="5"/>
  <c r="F1765" i="5"/>
  <c r="E1765" i="5"/>
  <c r="X1765" i="5" s="1"/>
  <c r="E1981" i="5"/>
  <c r="X1981" i="5" s="1"/>
  <c r="R1981" i="5"/>
  <c r="J1981" i="5"/>
  <c r="I1981" i="5"/>
  <c r="H1981" i="5"/>
  <c r="F1981" i="5"/>
  <c r="G2053" i="5"/>
  <c r="E2233" i="5"/>
  <c r="X2233" i="5" s="1"/>
  <c r="J2233" i="5"/>
  <c r="H2233" i="5"/>
  <c r="I2233" i="5"/>
  <c r="F2233" i="5"/>
  <c r="R2233" i="5"/>
  <c r="R2365" i="5"/>
  <c r="H2365" i="5"/>
  <c r="F2365" i="5"/>
  <c r="I2365" i="5"/>
  <c r="E2365" i="5"/>
  <c r="X2365" i="5" s="1"/>
  <c r="J2365" i="5"/>
  <c r="E2437" i="5"/>
  <c r="X2437" i="5" s="1"/>
  <c r="F2437" i="5"/>
  <c r="J2437" i="5"/>
  <c r="H2437" i="5"/>
  <c r="I2437" i="5"/>
  <c r="R2437" i="5"/>
  <c r="F27" i="6"/>
  <c r="F32" i="6" s="1"/>
  <c r="H32" i="6" s="1"/>
  <c r="H46" i="6"/>
  <c r="D46" i="6" s="1"/>
  <c r="H40" i="6"/>
  <c r="C30" i="6"/>
  <c r="K66" i="6"/>
  <c r="H44" i="6"/>
  <c r="B42" i="6"/>
  <c r="G42" i="6" s="1"/>
  <c r="G22" i="6"/>
  <c r="H22" i="6" s="1"/>
  <c r="B47" i="6"/>
  <c r="G47" i="6" s="1"/>
  <c r="B32" i="6"/>
  <c r="G32" i="6" s="1"/>
  <c r="B27" i="6"/>
  <c r="G27" i="6" s="1"/>
  <c r="H27" i="6" s="1"/>
  <c r="F42" i="6"/>
  <c r="F68" i="6"/>
  <c r="F52" i="6"/>
  <c r="H52" i="6" s="1"/>
  <c r="F37" i="6"/>
  <c r="H37" i="6" s="1"/>
  <c r="F47" i="6"/>
  <c r="F54" i="6"/>
  <c r="H54" i="6" s="1"/>
  <c r="C29" i="6"/>
  <c r="C49" i="6"/>
  <c r="C24" i="6"/>
  <c r="C2" i="6"/>
  <c r="B2" i="6"/>
  <c r="A25" i="6"/>
  <c r="D25" i="6"/>
  <c r="C25" i="6"/>
  <c r="D50" i="6"/>
  <c r="C50" i="6"/>
  <c r="C35" i="6"/>
  <c r="H51" i="6"/>
  <c r="D51" i="6" s="1"/>
  <c r="C21" i="6"/>
  <c r="C36" i="6"/>
  <c r="B69" i="4"/>
  <c r="A50" i="6" s="1"/>
  <c r="B63" i="4"/>
  <c r="A45" i="6" s="1"/>
  <c r="C46" i="6"/>
  <c r="D26" i="6"/>
  <c r="C26" i="6"/>
  <c r="H31" i="6"/>
  <c r="K67" i="6"/>
  <c r="D21" i="6"/>
  <c r="B51" i="4"/>
  <c r="A35" i="6" s="1"/>
  <c r="B32" i="4"/>
  <c r="A19" i="6" s="1"/>
  <c r="B34" i="4"/>
  <c r="A21" i="6" s="1"/>
  <c r="H41" i="6"/>
  <c r="B64" i="6"/>
  <c r="H64" i="6"/>
  <c r="H68" i="6" l="1"/>
  <c r="C66" i="6"/>
  <c r="H42" i="6"/>
  <c r="D42" i="6" s="1"/>
  <c r="D34" i="6"/>
  <c r="C34" i="6"/>
  <c r="X1164" i="5"/>
  <c r="G69" i="6" a="1"/>
  <c r="G69" i="6" s="1"/>
  <c r="H47" i="6"/>
  <c r="D47" i="6" s="1"/>
  <c r="F60" i="6"/>
  <c r="H60" i="6" s="1"/>
  <c r="D60" i="6" s="1"/>
  <c r="F63" i="6"/>
  <c r="H63" i="6" s="1"/>
  <c r="F55" i="6"/>
  <c r="F62" i="6"/>
  <c r="H62" i="6" s="1"/>
  <c r="D62" i="6" s="1"/>
  <c r="D40" i="6"/>
  <c r="C40" i="6"/>
  <c r="F59" i="6"/>
  <c r="H59" i="6" s="1"/>
  <c r="D59" i="6" s="1"/>
  <c r="C65" i="6"/>
  <c r="D44" i="6"/>
  <c r="C44" i="6"/>
  <c r="D68" i="6"/>
  <c r="C68" i="6"/>
  <c r="D22" i="6"/>
  <c r="K68" i="6"/>
  <c r="C22" i="6"/>
  <c r="D52" i="6"/>
  <c r="C52" i="6"/>
  <c r="F58" i="6"/>
  <c r="H58" i="6" s="1"/>
  <c r="C58" i="6" s="1"/>
  <c r="D37" i="6"/>
  <c r="C37" i="6"/>
  <c r="D32" i="6"/>
  <c r="C32" i="6"/>
  <c r="D27" i="6"/>
  <c r="C27" i="6"/>
  <c r="F57" i="6"/>
  <c r="H57" i="6" s="1"/>
  <c r="D57" i="6" s="1"/>
  <c r="C67" i="6"/>
  <c r="C51" i="6"/>
  <c r="D54" i="6"/>
  <c r="C54" i="6"/>
  <c r="D63" i="6"/>
  <c r="C63" i="6"/>
  <c r="D41" i="6"/>
  <c r="C41" i="6"/>
  <c r="D31" i="6"/>
  <c r="C31" i="6"/>
  <c r="H55" i="6"/>
  <c r="F56" i="6"/>
  <c r="H56" i="6" s="1"/>
  <c r="D58" i="6"/>
  <c r="D64" i="6"/>
  <c r="C64" i="6"/>
  <c r="C42" i="6" l="1"/>
  <c r="C59" i="6"/>
  <c r="C60" i="6"/>
  <c r="C62" i="6"/>
  <c r="H69" i="6"/>
  <c r="H70" i="6" s="1"/>
  <c r="D2" i="6" s="1"/>
  <c r="C69" i="6"/>
  <c r="C47" i="6"/>
  <c r="C57" i="6"/>
  <c r="D56" i="6"/>
  <c r="C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<sst xmlns="http://schemas.openxmlformats.org/spreadsheetml/2006/main" count="25940" uniqueCount="16029">
  <si>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</si>
  <si>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</si>
  <si>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</si>
  <si>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</si>
  <si>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</si>
  <si>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</si>
  <si>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</si>
  <si>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</si>
  <si>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</si>
  <si>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</si>
  <si>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</si>
  <si>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</si>
  <si>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</si>
  <si>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</si>
  <si>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</si>
  <si>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</si>
  <si>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</si>
  <si>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</si>
  <si>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</si>
  <si>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</si>
  <si>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</si>
  <si>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</si>
  <si>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</si>
  <si>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</si>
  <si>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</si>
  <si>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</si>
  <si>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</si>
  <si>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</si>
  <si>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</si>
  <si>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</si>
  <si>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</si>
  <si>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</si>
  <si>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</si>
  <si>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</si>
  <si>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</si>
  <si>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</si>
  <si>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</si>
  <si>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</si>
  <si>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</si>
  <si>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</si>
  <si>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</si>
  <si>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</si>
  <si>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</si>
  <si>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</si>
  <si>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</si>
  <si>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</si>
  <si>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</si>
  <si>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</si>
  <si>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</si>
  <si>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</si>
  <si>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</si>
  <si>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</si>
  <si>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</si>
  <si>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</si>
  <si>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</si>
  <si>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</si>
  <si>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</si>
  <si>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</si>
  <si>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</si>
  <si>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</si>
  <si>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</si>
  <si>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</si>
  <si>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</si>
  <si>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</si>
  <si>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</si>
  <si>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</si>
  <si>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</si>
  <si>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</si>
  <si>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</si>
  <si>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</si>
  <si>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</si>
  <si>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</si>
  <si>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</si>
  <si>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</si>
  <si>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</si>
  <si>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</si>
  <si>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</si>
  <si>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</si>
  <si>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</si>
  <si>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</si>
  <si>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</si>
  <si>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</si>
  <si>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</si>
  <si>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</si>
  <si>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</si>
  <si>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</si>
  <si>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</si>
  <si>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</si>
  <si>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</si>
  <si>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</si>
  <si>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</si>
  <si>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</si>
  <si>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</si>
  <si>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</si>
  <si>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</si>
  <si>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</si>
  <si>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</si>
  <si>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</si>
  <si>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</si>
  <si>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</si>
  <si>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</si>
  <si>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</si>
  <si>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</si>
  <si>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</si>
  <si>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</si>
  <si>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</si>
  <si>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</si>
  <si>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</si>
  <si>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</si>
  <si>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</si>
  <si>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</si>
  <si>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</si>
  <si>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</si>
  <si>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</si>
  <si>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</si>
  <si>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</si>
  <si>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</si>
  <si>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</si>
  <si>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</si>
  <si>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</si>
  <si>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</si>
  <si>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</si>
  <si>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</si>
  <si>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</si>
  <si>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</si>
  <si>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</si>
  <si>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</si>
  <si>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</si>
  <si>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</si>
  <si>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</si>
  <si>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</si>
  <si>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</si>
  <si>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</si>
  <si>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</si>
  <si>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</si>
  <si>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</si>
  <si>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</si>
  <si>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</si>
  <si>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</si>
  <si>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</si>
  <si>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</si>
  <si>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</si>
  <si>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</si>
  <si>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</si>
  <si>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</si>
  <si>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</si>
  <si>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</si>
  <si>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</si>
  <si>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</si>
  <si>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</si>
  <si>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</si>
  <si>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</si>
  <si>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</si>
  <si>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</si>
  <si>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</si>
  <si>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</si>
  <si>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</si>
  <si>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</si>
  <si>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</si>
  <si>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</si>
  <si>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</si>
  <si>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</si>
  <si>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</si>
  <si>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</si>
  <si>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</si>
  <si>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</si>
  <si>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</si>
  <si>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</si>
  <si>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</si>
  <si>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</si>
  <si>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</si>
  <si>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</si>
  <si>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</si>
  <si>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</si>
  <si>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</si>
  <si>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</si>
  <si>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</si>
  <si>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</si>
  <si>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</si>
  <si>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</si>
  <si>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</si>
  <si>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</si>
  <si>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</si>
  <si>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</si>
  <si>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</si>
  <si>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</si>
  <si>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</si>
  <si>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</si>
  <si>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</si>
  <si>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</si>
  <si>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</si>
  <si>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</si>
  <si>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</si>
  <si>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</si>
  <si>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</si>
  <si>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</si>
  <si>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</si>
  <si>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</si>
  <si>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</si>
  <si>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</si>
  <si>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</si>
  <si>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</si>
  <si>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</si>
  <si>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</si>
  <si>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</si>
  <si>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</si>
  <si>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</si>
  <si>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</si>
  <si>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</si>
  <si>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</si>
  <si>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</si>
  <si>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</si>
  <si>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</si>
  <si>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</si>
  <si>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</si>
  <si>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</si>
  <si>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</si>
  <si>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</si>
  <si>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</si>
  <si>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</si>
  <si>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</si>
  <si>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</si>
  <si>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</si>
  <si>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</si>
  <si>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</si>
  <si>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</si>
  <si>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</si>
  <si>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</si>
  <si>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</si>
  <si>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</si>
  <si>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</si>
  <si>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</si>
  <si>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</si>
  <si>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</si>
  <si>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</si>
  <si>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</si>
  <si>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</si>
  <si>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</si>
  <si>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</si>
  <si>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</si>
  <si>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</si>
  <si>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</si>
  <si>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</si>
  <si>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</si>
  <si>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</si>
  <si>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</si>
  <si>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</si>
  <si>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</si>
  <si>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</si>
  <si>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</si>
  <si>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</si>
  <si>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</si>
  <si>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</si>
  <si>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</si>
  <si>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</si>
  <si>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</si>
  <si>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</si>
  <si>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</si>
  <si>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</si>
  <si>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</si>
  <si>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</si>
  <si>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</si>
  <si>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</si>
  <si>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</si>
  <si>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</si>
  <si>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</si>
  <si>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</si>
  <si>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</si>
  <si>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</si>
  <si>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</si>
  <si>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</si>
  <si>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</si>
  <si>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</si>
  <si>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</si>
  <si>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</si>
  <si>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</si>
  <si>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</si>
  <si>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</si>
  <si>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</si>
  <si>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</si>
  <si>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</si>
  <si>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</si>
  <si>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</si>
  <si>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</si>
  <si>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</si>
  <si>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</si>
  <si>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</si>
  <si>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</si>
  <si>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</si>
  <si>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</si>
  <si>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</si>
  <si>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</si>
  <si>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</si>
  <si>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</si>
  <si>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</si>
  <si>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</si>
  <si>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</si>
  <si>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</si>
  <si>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</si>
  <si>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</si>
  <si>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</si>
  <si>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</si>
  <si>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</si>
  <si>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</si>
  <si>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</si>
  <si>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</si>
  <si>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</si>
  <si>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</si>
  <si>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</si>
  <si>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</si>
  <si>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</si>
  <si>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</si>
  <si>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</si>
  <si>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</si>
  <si>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</si>
  <si>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</si>
  <si>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</si>
  <si>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</si>
  <si>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</si>
  <si>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</si>
  <si>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</si>
  <si>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</si>
  <si>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</si>
  <si>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</si>
  <si>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</si>
  <si>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</si>
  <si>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</si>
  <si>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</si>
  <si>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</si>
  <si>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</si>
  <si>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</si>
  <si>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</si>
  <si>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</si>
  <si>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</si>
  <si>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</si>
  <si>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</si>
  <si>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</si>
  <si>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</si>
  <si>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</si>
  <si>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</si>
  <si>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</si>
  <si>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</si>
  <si>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</si>
  <si>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</si>
  <si>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</si>
  <si>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</si>
  <si>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</si>
  <si>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</si>
  <si>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</si>
  <si>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</si>
  <si>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</si>
  <si>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</si>
  <si>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</si>
  <si>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</si>
  <si>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</si>
  <si>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</si>
  <si>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</si>
  <si>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</si>
  <si>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</si>
  <si>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</si>
  <si>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</si>
  <si>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</si>
  <si>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</si>
  <si>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</si>
  <si>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</si>
  <si>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</si>
  <si>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</si>
  <si>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</si>
  <si>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</si>
  <si>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</si>
  <si>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</si>
  <si>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</si>
  <si>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</si>
  <si>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</si>
  <si>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</si>
  <si>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</si>
  <si>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</si>
  <si>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</si>
  <si>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</si>
  <si>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</si>
  <si>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</si>
  <si>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</si>
  <si>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</si>
  <si>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</si>
  <si>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</si>
  <si>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</si>
  <si>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</si>
  <si>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</si>
  <si>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</si>
  <si>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</si>
  <si>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</si>
  <si>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</si>
  <si>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</si>
  <si>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</si>
  <si>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</si>
  <si>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</si>
  <si>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</si>
  <si>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</si>
  <si>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</si>
  <si>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</si>
  <si>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</si>
  <si>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</si>
  <si>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</si>
  <si>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</si>
  <si>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</si>
  <si>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</si>
  <si>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</si>
  <si>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</si>
  <si>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</si>
  <si>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</si>
  <si>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</si>
  <si>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</si>
  <si>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</si>
  <si>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</si>
  <si>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</si>
  <si>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</si>
  <si>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</si>
  <si>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</si>
  <si>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</si>
  <si>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</si>
  <si>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</si>
  <si>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</si>
  <si>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</si>
  <si>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</si>
  <si>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</si>
  <si>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</si>
  <si>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</si>
  <si>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</si>
  <si>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</si>
  <si>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</si>
  <si>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</si>
  <si>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</si>
  <si>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</si>
  <si>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</si>
  <si>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</si>
  <si>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</si>
  <si>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</si>
  <si>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</si>
  <si>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</si>
  <si>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</si>
  <si>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</si>
  <si>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</si>
  <si>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</si>
  <si>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</si>
  <si>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</si>
  <si>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</si>
  <si>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</si>
  <si>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</si>
  <si>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</si>
  <si>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</si>
  <si>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</si>
  <si>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</si>
  <si>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</si>
  <si>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</si>
  <si>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</si>
  <si>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</si>
  <si>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</si>
  <si>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</si>
  <si>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</si>
  <si>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</si>
  <si>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</si>
  <si>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</si>
  <si>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</si>
  <si>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</si>
  <si>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</si>
  <si>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</si>
  <si>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</si>
  <si>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</si>
  <si>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</si>
  <si>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</si>
  <si>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</si>
  <si>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</si>
  <si>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</si>
  <si>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</si>
  <si>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</si>
  <si>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</si>
  <si>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</si>
  <si>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</si>
  <si>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</si>
  <si>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</si>
  <si>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</si>
  <si>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</si>
  <si>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</si>
  <si>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</si>
  <si>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</si>
  <si>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</si>
  <si>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</si>
  <si>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</si>
  <si>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</si>
  <si>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</si>
  <si>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</si>
  <si>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</si>
  <si>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</si>
  <si>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</si>
  <si>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</si>
  <si>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</si>
  <si>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</si>
  <si>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</si>
  <si>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</si>
  <si>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</si>
  <si>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</si>
  <si>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</si>
  <si>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</si>
  <si>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</si>
  <si>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</si>
  <si>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</si>
  <si>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</si>
  <si>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</si>
  <si>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</si>
  <si>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</si>
  <si>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</si>
  <si>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</si>
  <si>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</si>
  <si>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</si>
  <si>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</si>
  <si>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</si>
  <si>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</si>
  <si>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</si>
  <si>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</si>
  <si>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</si>
  <si>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</si>
  <si>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</si>
  <si>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</si>
  <si>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</si>
  <si>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</si>
  <si>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</si>
  <si>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</si>
  <si>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</si>
  <si>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</si>
  <si>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</si>
  <si>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</si>
  <si>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</si>
  <si>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</si>
  <si>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</si>
  <si>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</si>
  <si>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</si>
  <si>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</si>
  <si>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</si>
  <si>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</si>
  <si>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</si>
  <si>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</si>
  <si>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</si>
  <si>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</si>
  <si>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</si>
  <si>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</si>
  <si>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</si>
  <si>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</si>
  <si>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</si>
  <si>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</si>
  <si>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</si>
  <si>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</si>
  <si>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</si>
  <si>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</si>
  <si>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</si>
  <si>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</si>
  <si>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</si>
  <si>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</si>
  <si>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</si>
  <si>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</si>
  <si>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</si>
  <si>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</si>
  <si>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</si>
  <si>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</si>
  <si>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</si>
  <si>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</si>
  <si>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</si>
  <si>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</si>
  <si>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</si>
  <si>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</si>
  <si>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</si>
  <si>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</si>
  <si>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</si>
  <si>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</si>
  <si>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</si>
  <si>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</si>
  <si>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</si>
  <si>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</si>
  <si>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</si>
  <si>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</si>
  <si>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</si>
  <si>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</si>
  <si>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</si>
  <si>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</si>
  <si>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</si>
  <si>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</si>
  <si>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</si>
  <si>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</si>
  <si>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</si>
  <si>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</si>
  <si>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</si>
  <si>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</si>
  <si>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</si>
  <si>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</si>
  <si>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</si>
  <si>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</si>
  <si>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</si>
  <si>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</si>
  <si>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</si>
  <si>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</si>
  <si>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</si>
  <si>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</si>
  <si>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</si>
  <si>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</si>
  <si>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</si>
  <si>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</si>
  <si>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</si>
  <si>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</si>
  <si>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</si>
  <si>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</si>
  <si>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</si>
  <si>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</si>
  <si>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</si>
  <si>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</si>
  <si>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</si>
  <si>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</si>
  <si>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</si>
  <si>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</si>
  <si>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</si>
  <si>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</si>
  <si>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</si>
  <si>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</si>
  <si>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</si>
  <si>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</si>
  <si>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</si>
  <si>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</si>
  <si>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</si>
  <si>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</si>
  <si>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</si>
  <si>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</si>
  <si>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</si>
  <si>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</si>
  <si>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</si>
  <si>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</si>
  <si>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</si>
  <si>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</si>
  <si>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</si>
  <si>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</si>
  <si>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</si>
  <si>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</si>
  <si>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</si>
  <si>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</si>
  <si>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</si>
  <si>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</si>
  <si>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</si>
  <si>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</si>
  <si>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</si>
  <si>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</si>
  <si>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</si>
  <si>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</si>
  <si>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</si>
  <si>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</si>
  <si>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</si>
  <si>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</si>
  <si>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</si>
  <si>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</si>
  <si>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</si>
  <si>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</si>
  <si>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</si>
  <si>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</si>
  <si>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</si>
  <si>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</si>
  <si>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</si>
  <si>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</si>
  <si>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</si>
  <si>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</si>
  <si>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</si>
  <si>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</si>
  <si>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</si>
  <si>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</si>
  <si>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</si>
  <si>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</si>
  <si>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</si>
  <si>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</si>
  <si>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</si>
  <si>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</si>
  <si>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</si>
  <si>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</si>
  <si>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</si>
  <si>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</si>
  <si>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</si>
  <si>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</si>
  <si>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</si>
  <si>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</si>
  <si>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</si>
  <si>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</si>
  <si>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</si>
  <si>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</si>
  <si>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</si>
  <si>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</si>
  <si>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</si>
  <si>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</si>
  <si>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</si>
  <si>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</si>
  <si>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</si>
  <si>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</si>
  <si>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</si>
  <si>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</si>
  <si>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</si>
  <si>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</si>
  <si>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</si>
  <si>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</si>
  <si>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</si>
  <si>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</si>
  <si>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</si>
  <si>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</si>
  <si>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</si>
  <si>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</si>
  <si>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</si>
  <si>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</si>
  <si>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</si>
  <si>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</si>
  <si>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</si>
  <si>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</si>
  <si>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</si>
  <si>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</si>
  <si>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</si>
  <si>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</si>
  <si>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</si>
  <si>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</si>
  <si>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</si>
  <si>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</si>
  <si>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</si>
  <si>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</si>
  <si>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</si>
  <si>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</si>
  <si>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</si>
  <si>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</si>
  <si>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</si>
  <si>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</si>
  <si>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</si>
  <si>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</si>
  <si>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</si>
  <si>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</si>
  <si>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</si>
  <si>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</si>
  <si>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</si>
  <si>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</si>
  <si>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</si>
  <si>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</si>
  <si>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</si>
  <si>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</si>
  <si>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</si>
  <si>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</si>
  <si>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</si>
  <si>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</si>
  <si>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</si>
  <si>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</si>
  <si>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</si>
  <si>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</si>
  <si>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</si>
  <si>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</si>
  <si>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</si>
  <si>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</si>
  <si>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</si>
  <si>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</si>
  <si>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</si>
  <si>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</si>
  <si>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</si>
  <si>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</si>
  <si>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</si>
  <si>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</si>
  <si>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</si>
  <si>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</si>
  <si>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</si>
  <si>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</si>
  <si>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</si>
  <si>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</si>
  <si>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</si>
  <si>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</si>
  <si>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</si>
  <si>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</si>
  <si>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</si>
  <si>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</si>
  <si>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</si>
  <si>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</si>
  <si>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</si>
  <si>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</si>
  <si>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</si>
  <si>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</si>
  <si>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</si>
  <si>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</si>
  <si>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</si>
  <si>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</si>
  <si>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</si>
  <si>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</si>
  <si>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</si>
  <si>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</si>
  <si>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</si>
  <si>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</si>
  <si>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</si>
  <si>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</si>
  <si>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</si>
  <si>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</si>
  <si>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</si>
  <si>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</si>
  <si>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</si>
  <si>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</si>
  <si>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</si>
  <si>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</si>
  <si>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</si>
  <si>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</si>
  <si>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</si>
  <si>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</si>
  <si>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</si>
  <si>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</si>
  <si>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</si>
  <si>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</si>
  <si>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</si>
  <si>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</si>
  <si>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</si>
  <si>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</si>
  <si>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</si>
  <si>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</si>
  <si>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</si>
  <si>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</si>
  <si>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</si>
  <si>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</si>
  <si>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</si>
  <si>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</si>
  <si>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</si>
  <si>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</si>
  <si>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</si>
  <si>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</si>
  <si>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</si>
  <si>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</si>
  <si>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</si>
  <si>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</si>
  <si>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</si>
  <si>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</si>
  <si>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</si>
  <si>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</si>
  <si>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</si>
  <si>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</si>
  <si>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</si>
  <si>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</si>
  <si>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</si>
  <si>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</si>
  <si>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</si>
  <si>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</si>
  <si>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</si>
  <si>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</si>
  <si>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</si>
  <si>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</si>
  <si>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</si>
  <si>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</si>
  <si>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</si>
  <si>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</si>
  <si>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</si>
  <si>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</si>
  <si>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</si>
  <si>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</si>
  <si>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</si>
  <si>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</si>
  <si>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</si>
  <si>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</si>
  <si>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</si>
  <si>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</si>
  <si>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</si>
  <si>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</si>
  <si>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</si>
  <si>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</si>
  <si>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</si>
  <si>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</si>
  <si>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</si>
  <si>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</si>
  <si>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</si>
  <si>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</si>
  <si>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</si>
  <si>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</si>
  <si>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</si>
  <si>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</si>
  <si>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</si>
  <si>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</si>
  <si>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</si>
  <si>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</si>
  <si>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</si>
  <si>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</si>
  <si>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</si>
  <si>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</si>
  <si>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</si>
  <si>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</si>
  <si>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</si>
  <si>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</si>
  <si>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</si>
  <si>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</si>
  <si>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</si>
  <si>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</si>
  <si>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</si>
  <si>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</si>
  <si>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</si>
  <si>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</si>
  <si>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</si>
  <si>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</si>
  <si>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</si>
  <si>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</si>
  <si>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</si>
  <si>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</si>
  <si>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</si>
  <si>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</si>
  <si>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</si>
  <si>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</si>
  <si>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</si>
  <si>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</si>
  <si>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</si>
  <si>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</si>
  <si>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</si>
  <si>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</si>
  <si>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</si>
  <si>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</si>
  <si>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</si>
  <si>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</si>
  <si>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</si>
  <si>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</si>
  <si>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</si>
  <si>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</si>
  <si>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</si>
  <si>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</si>
  <si>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</si>
  <si>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</si>
  <si>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</si>
  <si>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</si>
  <si>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</si>
  <si>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</si>
  <si>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</si>
  <si>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</si>
  <si>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</si>
  <si>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</si>
  <si>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</si>
  <si>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</si>
  <si>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</si>
  <si>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</si>
  <si>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</si>
  <si>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</si>
  <si>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</si>
  <si>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</si>
  <si>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</si>
  <si>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</si>
  <si>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</si>
  <si>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</si>
  <si>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</si>
  <si>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</si>
  <si>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</si>
  <si>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</si>
  <si>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</si>
  <si>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</si>
  <si>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</si>
  <si>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</si>
  <si>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</si>
  <si>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</si>
  <si>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</si>
  <si>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</si>
  <si>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</si>
  <si>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</si>
  <si>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</si>
  <si>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</si>
  <si>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</si>
  <si>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</si>
  <si>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</si>
  <si>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</si>
  <si>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</si>
  <si>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</si>
  <si>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</si>
  <si>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</si>
  <si>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</si>
  <si>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</si>
  <si>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</si>
  <si>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</si>
  <si>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</si>
  <si>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</si>
  <si>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</si>
  <si>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</si>
  <si>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</si>
  <si>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</si>
  <si>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</si>
  <si>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</si>
  <si>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</si>
  <si>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</si>
  <si>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</si>
  <si>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</si>
  <si>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</si>
  <si>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</si>
  <si>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</si>
  <si>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</si>
  <si>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</si>
  <si>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</si>
  <si>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</si>
  <si>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</si>
  <si>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</si>
  <si>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</si>
  <si>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</si>
  <si>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</si>
  <si>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</si>
  <si>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</si>
  <si>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</si>
  <si>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</si>
  <si>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</si>
  <si>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</si>
  <si>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</si>
  <si>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</si>
  <si>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</si>
  <si>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</si>
  <si>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</si>
  <si>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</si>
  <si>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</si>
  <si>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</si>
  <si>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</si>
  <si>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</si>
  <si>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</si>
  <si>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</si>
  <si>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</si>
  <si>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</si>
  <si>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</si>
  <si>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</si>
  <si>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</si>
  <si>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</si>
  <si>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</si>
  <si>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</si>
  <si>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</si>
  <si>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</si>
  <si>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</si>
  <si>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</si>
  <si>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</si>
  <si>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</si>
  <si>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</si>
  <si>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</si>
  <si>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</si>
  <si>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</si>
  <si>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</si>
  <si>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</si>
  <si>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</si>
  <si>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</si>
  <si>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</si>
  <si>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</si>
  <si>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</si>
  <si>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</si>
  <si>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</si>
  <si>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</si>
  <si>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</si>
  <si>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</si>
  <si>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</si>
  <si>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</si>
  <si>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</si>
  <si>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</si>
  <si>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</si>
  <si>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</si>
  <si>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</si>
  <si>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</si>
  <si>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</si>
  <si>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</si>
  <si>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</si>
  <si>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</si>
  <si>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</si>
  <si>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</si>
  <si>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</si>
  <si>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</si>
  <si>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</si>
  <si>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</si>
  <si>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</si>
  <si>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</si>
  <si>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</si>
  <si>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</si>
  <si>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</si>
  <si>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</si>
  <si>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</si>
  <si>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</si>
  <si>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</si>
  <si>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</si>
  <si>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</si>
  <si>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</si>
  <si>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</si>
  <si>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</si>
  <si>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</si>
  <si>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</si>
  <si>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</si>
  <si>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</si>
  <si>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</si>
  <si>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</si>
  <si>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</si>
  <si>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</si>
  <si>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</si>
  <si>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</si>
  <si>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</si>
  <si>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</si>
  <si>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</si>
  <si>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</si>
  <si>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</si>
  <si>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</si>
  <si>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</si>
  <si>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</si>
  <si>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</si>
  <si>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</si>
  <si>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</si>
  <si>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</si>
  <si>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</si>
  <si>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</si>
  <si>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</si>
  <si>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</si>
  <si>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</si>
  <si>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</si>
  <si>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</si>
  <si>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</si>
  <si>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</si>
  <si>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</si>
  <si>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</si>
  <si>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</si>
  <si>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</si>
  <si>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</si>
  <si>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</si>
  <si>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</si>
  <si>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</si>
  <si>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</si>
  <si>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</si>
  <si>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</si>
  <si>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</si>
  <si>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</si>
  <si>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</si>
  <si>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</si>
  <si>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</si>
  <si>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</si>
  <si>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</si>
  <si>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</si>
  <si>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</si>
  <si>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</si>
  <si>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</si>
  <si>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</si>
  <si>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</si>
  <si>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</si>
  <si>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</si>
  <si>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</si>
  <si>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</si>
  <si>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</si>
  <si>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</si>
  <si>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</si>
  <si>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</si>
  <si>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</si>
  <si>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</si>
  <si>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</si>
  <si>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</si>
  <si>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</si>
  <si>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</si>
  <si>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</si>
  <si>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</si>
  <si>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</si>
  <si>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</si>
  <si>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</si>
  <si>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</si>
  <si>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</si>
  <si>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</si>
  <si>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</si>
  <si>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</si>
  <si>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</si>
  <si>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</si>
  <si>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</si>
  <si>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</si>
  <si>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</si>
  <si>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</si>
  <si>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</si>
  <si>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</si>
  <si>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</si>
  <si>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</si>
  <si>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</si>
  <si>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</si>
  <si>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</si>
  <si>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</si>
  <si>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</si>
  <si>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</si>
  <si>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</si>
  <si>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</si>
  <si>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</si>
  <si>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</si>
  <si>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</si>
  <si>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</si>
  <si>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</si>
  <si>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</si>
  <si>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</si>
  <si>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</si>
  <si>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</si>
  <si>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</si>
  <si>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</si>
  <si>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</si>
  <si>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</si>
  <si>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</si>
  <si>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</si>
  <si>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</si>
  <si>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</si>
  <si>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</si>
  <si>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</si>
  <si>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</si>
  <si>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</si>
  <si>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</si>
  <si>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</si>
  <si>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</si>
  <si>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</si>
  <si>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</si>
  <si>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</si>
  <si>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</si>
  <si>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</si>
  <si>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</si>
  <si>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</si>
  <si>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</si>
  <si>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</si>
  <si>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</si>
  <si>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</si>
  <si>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</si>
  <si>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</si>
  <si>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</si>
  <si>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</si>
  <si>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</si>
  <si>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</si>
  <si>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</si>
  <si>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</si>
  <si>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</si>
  <si>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</si>
  <si>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</si>
  <si>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</si>
  <si>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</si>
  <si>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</si>
  <si>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</si>
  <si>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</si>
  <si>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</si>
  <si>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</si>
  <si>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</si>
  <si>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</si>
  <si>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</si>
  <si>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</si>
  <si>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</si>
  <si>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</si>
  <si>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</si>
  <si>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</si>
  <si>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</si>
  <si>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</si>
  <si>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</si>
  <si>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</si>
  <si>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</si>
  <si>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</si>
  <si>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</si>
  <si>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</si>
  <si>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</si>
  <si>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</si>
  <si>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</si>
  <si>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</si>
  <si>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</si>
  <si>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</si>
  <si>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</si>
  <si>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</si>
  <si>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</si>
  <si>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</si>
  <si>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</si>
  <si>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</si>
  <si>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</si>
  <si>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</si>
  <si>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</si>
  <si>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</si>
  <si>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</si>
  <si>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</si>
  <si>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</si>
  <si>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</si>
  <si>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</si>
  <si>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</si>
  <si>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</si>
  <si>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</si>
  <si>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</si>
  <si>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</si>
  <si>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</si>
  <si>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</si>
  <si>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</si>
  <si>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</si>
  <si>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</si>
  <si>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</si>
  <si>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</si>
  <si>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</si>
  <si>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</si>
  <si>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</si>
  <si>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</si>
  <si>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</si>
  <si>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</si>
  <si>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</si>
  <si>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</si>
  <si>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</si>
  <si>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</si>
  <si>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</si>
  <si>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</si>
  <si>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</si>
  <si>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</si>
  <si>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</si>
  <si>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</si>
  <si>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</si>
  <si>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</si>
  <si>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</si>
  <si>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</si>
  <si>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</si>
  <si>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</si>
  <si>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</si>
  <si>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</si>
  <si>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</si>
  <si>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</si>
  <si>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</si>
  <si>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</si>
  <si>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</si>
  <si>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</si>
  <si>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</si>
  <si>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</si>
  <si>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</si>
  <si>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</si>
  <si>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</si>
  <si>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</si>
  <si>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</si>
  <si>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</si>
  <si>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</si>
  <si>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</si>
  <si>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</si>
  <si>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</si>
  <si>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</si>
  <si>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</si>
  <si>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</si>
  <si>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</si>
  <si>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</si>
  <si>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</si>
  <si>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</si>
  <si>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</si>
  <si>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</si>
  <si>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</si>
  <si>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</si>
  <si>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</si>
  <si>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</si>
  <si>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</si>
  <si>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</si>
  <si>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</si>
  <si>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</si>
  <si>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</si>
  <si>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</si>
  <si>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</si>
  <si>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</si>
  <si>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</si>
  <si>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</si>
  <si>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</si>
  <si>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</si>
  <si>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</si>
  <si>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</si>
  <si>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</si>
  <si>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</si>
  <si>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</si>
  <si>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</si>
  <si>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</si>
  <si>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</si>
  <si>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</si>
  <si>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</si>
  <si>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</si>
  <si>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</si>
  <si>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</si>
  <si>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</si>
  <si>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</si>
  <si>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</si>
  <si>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</si>
  <si>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</si>
  <si>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</si>
  <si>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</si>
  <si>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</si>
  <si>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</si>
  <si>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</si>
  <si>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</si>
  <si>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</si>
  <si>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</si>
  <si>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</si>
  <si>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</si>
  <si>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</si>
  <si>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</si>
  <si>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</si>
  <si>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</si>
  <si>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</si>
  <si>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</si>
  <si>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</si>
  <si>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</si>
  <si>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</si>
  <si>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</si>
  <si>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</si>
  <si>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</si>
  <si>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</si>
  <si>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</si>
  <si>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</si>
  <si>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</si>
  <si>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</si>
  <si>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</si>
  <si>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</si>
  <si>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</si>
  <si>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</si>
  <si>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</si>
  <si>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</si>
  <si>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</si>
  <si>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</si>
  <si>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</si>
  <si>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</si>
  <si>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</si>
  <si>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</si>
  <si>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</si>
  <si>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</si>
  <si>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</si>
  <si>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</si>
  <si>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</si>
  <si>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</si>
  <si>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</si>
  <si>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</si>
  <si>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</si>
  <si>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</si>
  <si>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</si>
  <si>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</si>
  <si>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</si>
  <si>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</si>
  <si>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</si>
  <si>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</si>
  <si>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</si>
  <si>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</si>
  <si>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</si>
  <si>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</si>
  <si>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</si>
  <si>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</si>
  <si>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</si>
  <si>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</si>
  <si>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</si>
  <si>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</si>
  <si>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</si>
  <si>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</si>
  <si>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</si>
  <si>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</si>
  <si>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</si>
  <si>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</si>
  <si>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</si>
  <si>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</si>
  <si>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</si>
  <si>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</si>
  <si>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</si>
  <si>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</si>
  <si>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</si>
  <si>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</si>
  <si>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</si>
  <si>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</si>
  <si>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</si>
  <si>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</si>
  <si>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</si>
  <si>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</si>
  <si>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</si>
  <si>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</si>
  <si>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</si>
  <si>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</si>
  <si>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</si>
  <si>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</si>
  <si>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</si>
  <si>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</si>
  <si>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</si>
  <si>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</si>
  <si>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</si>
  <si>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</si>
  <si>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</si>
  <si>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</si>
  <si>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</si>
  <si>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</si>
  <si>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</si>
  <si>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</si>
  <si>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</si>
  <si>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</si>
  <si>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</si>
  <si>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</si>
  <si>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</si>
  <si>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</si>
  <si>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</si>
  <si>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</si>
  <si>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</si>
  <si>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</si>
  <si>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</si>
  <si>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</si>
  <si>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</si>
  <si>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</si>
  <si>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</si>
  <si>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</si>
  <si>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</si>
  <si>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</si>
  <si>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</si>
  <si>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</si>
  <si>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</si>
  <si>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</si>
  <si>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</si>
  <si>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</si>
  <si>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</si>
  <si>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</si>
  <si>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</si>
  <si>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</si>
  <si>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</si>
  <si>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</si>
  <si>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</si>
  <si>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</si>
  <si>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</si>
  <si>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</si>
  <si>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</si>
  <si>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</si>
  <si>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</si>
  <si>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</si>
  <si>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</si>
  <si>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</si>
  <si>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</si>
  <si>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</si>
  <si>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</si>
  <si>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</si>
  <si>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</si>
  <si>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</si>
  <si>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</si>
  <si>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</si>
  <si>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</si>
  <si>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</si>
  <si>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</si>
  <si>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</si>
  <si>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</si>
  <si>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</si>
  <si>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</si>
  <si>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</si>
  <si>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</si>
  <si>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</si>
  <si>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</si>
  <si>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</si>
  <si>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</si>
  <si>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</si>
  <si>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</si>
  <si>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</si>
  <si>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</si>
  <si>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</si>
  <si>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</si>
  <si>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</si>
  <si>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</si>
  <si>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</si>
  <si>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</si>
  <si>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</si>
  <si>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</si>
  <si>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</si>
  <si>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</si>
  <si>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</si>
  <si>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</si>
  <si>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</si>
  <si>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</si>
  <si>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</si>
  <si>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</si>
  <si>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</si>
  <si>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</si>
  <si>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</si>
  <si>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</si>
  <si>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</si>
  <si>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</si>
  <si>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</si>
  <si>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</si>
  <si>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</si>
  <si>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</si>
  <si>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</si>
  <si>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</si>
  <si>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</si>
  <si>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</si>
  <si>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</si>
  <si>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</si>
  <si>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</si>
  <si>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</si>
  <si>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</si>
  <si>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</si>
  <si>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</si>
  <si>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</si>
  <si>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</si>
  <si>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</si>
  <si>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</si>
  <si>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</si>
  <si>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</si>
  <si>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</si>
  <si>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</si>
  <si>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</si>
  <si>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</si>
  <si>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</si>
  <si>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</si>
  <si>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</si>
  <si>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</si>
  <si>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</si>
  <si>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</si>
  <si>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</si>
  <si>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</si>
  <si>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</si>
  <si>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</si>
  <si>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</si>
  <si>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</si>
  <si>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</si>
  <si>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</si>
  <si>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</si>
  <si>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</si>
  <si>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</si>
  <si>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</si>
  <si>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</si>
  <si>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</si>
  <si>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</si>
  <si>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</si>
  <si>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</si>
  <si>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</si>
  <si>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</si>
  <si>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</si>
  <si>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</si>
  <si>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</si>
  <si>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</si>
  <si>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</si>
  <si>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</si>
  <si>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</si>
  <si>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</si>
  <si>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</si>
  <si>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</si>
  <si>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</si>
  <si>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</si>
  <si>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</si>
  <si>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</si>
  <si>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</si>
  <si>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</si>
  <si>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</si>
  <si>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</si>
  <si>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</si>
  <si>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</si>
  <si>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</si>
  <si>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</si>
  <si>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</si>
  <si>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</si>
  <si>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</si>
  <si>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</si>
  <si>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</si>
  <si>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</si>
  <si>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</si>
  <si>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</si>
  <si>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</si>
  <si>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</si>
  <si>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</si>
  <si>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</si>
  <si>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</si>
  <si>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</si>
  <si>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</si>
  <si>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</si>
  <si>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</si>
  <si>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</si>
  <si>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</si>
  <si>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</si>
  <si>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</si>
  <si>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</si>
  <si>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</si>
  <si>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</si>
  <si>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</si>
  <si>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</si>
  <si>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</si>
  <si>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</si>
  <si>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</si>
  <si>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</si>
  <si>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</si>
  <si>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</si>
  <si>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</si>
  <si>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</si>
  <si>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</si>
  <si>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</si>
  <si>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</si>
  <si>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</si>
  <si>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</si>
  <si>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</si>
  <si>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</si>
  <si>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</si>
  <si>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</si>
  <si>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</si>
  <si>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</si>
  <si>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</si>
  <si>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</si>
  <si>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</si>
  <si>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</si>
  <si>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</si>
  <si>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</si>
  <si>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</si>
  <si>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</si>
  <si>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</si>
  <si>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</si>
  <si>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</si>
  <si>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</si>
  <si>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</si>
  <si>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</si>
  <si>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</si>
  <si>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</si>
  <si>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</si>
  <si>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</si>
  <si>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</si>
  <si>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</si>
  <si>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</si>
  <si>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</si>
  <si>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</si>
  <si>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</si>
  <si>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</si>
  <si>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</si>
  <si>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</si>
  <si>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</si>
  <si>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</si>
  <si>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</si>
  <si>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</si>
  <si>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</si>
  <si>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</si>
  <si>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</si>
  <si>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</si>
  <si>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</si>
  <si>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</si>
  <si>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</si>
  <si>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</si>
  <si>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</si>
  <si>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</si>
  <si>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</si>
  <si>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</si>
  <si>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</si>
  <si>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</si>
  <si>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</si>
  <si>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</si>
  <si>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</si>
  <si>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</si>
  <si>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</si>
  <si>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</si>
  <si>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</si>
  <si>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</si>
  <si>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</si>
  <si>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</si>
  <si>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</si>
  <si>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</si>
  <si>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</si>
  <si>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</si>
  <si>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</si>
  <si>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</si>
  <si>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</si>
  <si>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</si>
  <si>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</si>
  <si>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</si>
  <si>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</si>
  <si>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</si>
  <si>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</si>
  <si>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</si>
  <si>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</si>
  <si>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</si>
  <si>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</si>
  <si>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</si>
  <si>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</si>
  <si>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</si>
  <si>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</si>
  <si>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</si>
  <si>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</si>
  <si>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</si>
  <si>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</si>
  <si>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</si>
  <si>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</si>
  <si>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</si>
  <si>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</si>
  <si>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</si>
  <si>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</si>
  <si>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</si>
  <si>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</si>
  <si>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</si>
  <si>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</si>
  <si>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</si>
  <si>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</si>
  <si>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</si>
  <si>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</si>
  <si>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</si>
  <si>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</si>
  <si>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</si>
  <si>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</si>
  <si>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</si>
  <si>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</si>
  <si>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</si>
  <si>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</si>
  <si>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</si>
  <si>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</si>
  <si>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</si>
  <si>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</si>
  <si>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</si>
  <si>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</si>
  <si>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</si>
  <si>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</si>
  <si>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</si>
  <si>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</si>
  <si>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</si>
  <si>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</si>
  <si>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</si>
  <si>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</si>
  <si>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</si>
  <si>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</si>
  <si>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</si>
  <si>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</si>
  <si>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</si>
  <si>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</si>
  <si>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</si>
  <si>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</si>
  <si>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</si>
  <si>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</si>
  <si>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</si>
  <si>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</si>
  <si>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</si>
  <si>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</si>
  <si>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</si>
  <si>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</si>
  <si>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</si>
  <si>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</si>
  <si>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</si>
  <si>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</si>
  <si>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</si>
  <si>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</si>
  <si>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</si>
  <si>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</si>
  <si>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</si>
  <si>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</si>
  <si>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</si>
  <si>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</si>
  <si>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</si>
  <si>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</si>
  <si>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</si>
  <si>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</si>
  <si>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</si>
  <si>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</si>
  <si>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</si>
  <si>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</si>
  <si>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</si>
  <si>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</si>
  <si>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</si>
  <si>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</si>
  <si>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</si>
  <si>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</si>
  <si>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</si>
  <si>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</si>
  <si>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</si>
  <si>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</si>
  <si>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</si>
  <si>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</si>
  <si>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</si>
  <si>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</si>
  <si>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</si>
  <si>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</si>
  <si>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</si>
  <si>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</si>
  <si>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</si>
  <si>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</si>
  <si>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</si>
  <si>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</si>
  <si>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</si>
  <si>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</si>
  <si>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</si>
  <si>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</si>
  <si>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</si>
  <si>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</si>
  <si>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</si>
  <si>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</si>
  <si>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</si>
  <si>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</si>
  <si>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</si>
  <si>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</si>
  <si>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</si>
  <si>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</si>
  <si>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</si>
  <si>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</si>
  <si>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</si>
  <si>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</si>
  <si>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</si>
  <si>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</si>
  <si>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</si>
  <si>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</si>
  <si>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</si>
  <si>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</si>
  <si>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</si>
  <si>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</si>
  <si>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</si>
  <si>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</si>
  <si>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</si>
  <si>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</si>
  <si>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</si>
  <si>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</si>
  <si>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</si>
  <si>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</si>
  <si>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</si>
  <si>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</si>
  <si>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</si>
  <si>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</si>
  <si>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</si>
  <si>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</si>
  <si>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</si>
  <si>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</si>
  <si>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</si>
  <si>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</si>
  <si>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</si>
  <si>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</si>
  <si>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</si>
  <si>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</si>
  <si>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</si>
  <si>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</si>
  <si>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</si>
  <si>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</si>
  <si>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</si>
  <si>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</si>
  <si>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</si>
  <si>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</si>
  <si>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</si>
  <si>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</si>
  <si>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</si>
  <si>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</si>
  <si>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</si>
  <si>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</si>
  <si>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</si>
  <si>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</si>
  <si>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</si>
  <si>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</si>
  <si>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</si>
  <si>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</si>
  <si>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</si>
  <si>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</si>
  <si>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</si>
  <si>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</si>
  <si>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</si>
  <si>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</si>
  <si>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</si>
  <si>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</si>
  <si>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</si>
  <si>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</si>
  <si>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</si>
  <si>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</si>
  <si>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</si>
  <si>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</si>
  <si>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</si>
  <si>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</si>
  <si>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</si>
  <si>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</si>
  <si>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</si>
  <si>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</si>
  <si>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</si>
  <si>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</si>
  <si>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</si>
  <si>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</si>
  <si>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</si>
  <si>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</si>
  <si>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</si>
  <si>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</si>
  <si>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</si>
  <si>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</si>
  <si>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</si>
  <si>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</si>
  <si>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</si>
  <si>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</si>
  <si>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</si>
  <si>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</si>
  <si>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</si>
  <si>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</si>
  <si>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</si>
  <si>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</si>
  <si>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</si>
  <si>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</si>
  <si>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</si>
  <si>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</si>
  <si>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</si>
  <si>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</si>
  <si>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</si>
  <si>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</si>
  <si>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</si>
  <si>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</si>
  <si>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</si>
  <si>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</si>
  <si>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</si>
  <si>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</si>
  <si>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</si>
  <si>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</si>
  <si>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</si>
  <si>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</si>
  <si>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</si>
  <si>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</si>
  <si>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</si>
  <si>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</si>
  <si>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</si>
  <si>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</si>
  <si>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</si>
  <si>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</si>
  <si>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</si>
  <si>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</si>
  <si>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</si>
  <si>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</si>
  <si>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</si>
  <si>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</si>
  <si>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</si>
  <si>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</si>
  <si>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</si>
  <si>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</si>
  <si>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</si>
  <si>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</si>
  <si>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</si>
  <si>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</si>
  <si>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</si>
  <si>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</si>
  <si>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</si>
  <si>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</si>
  <si>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</si>
  <si>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</si>
  <si>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</si>
  <si>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</si>
  <si>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</si>
  <si>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</si>
  <si>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</si>
  <si>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</si>
  <si>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</si>
  <si>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</si>
  <si>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</si>
  <si>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</si>
  <si>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</si>
  <si>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</si>
  <si>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</si>
  <si>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</si>
  <si>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</si>
  <si>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</si>
  <si>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</si>
  <si>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</si>
  <si>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</si>
  <si>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</si>
  <si>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</si>
  <si>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</si>
  <si>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</si>
  <si>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</si>
  <si>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</si>
  <si>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</si>
  <si>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</si>
  <si>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</si>
  <si>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</si>
  <si>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</si>
  <si>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</si>
  <si>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</si>
  <si>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</si>
  <si>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</si>
  <si>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</si>
  <si>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</si>
  <si>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</si>
  <si>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</si>
  <si>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</si>
  <si>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</si>
  <si>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</si>
  <si>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</si>
  <si>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</si>
  <si>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</si>
  <si>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</si>
  <si>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</si>
  <si>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</si>
  <si>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</si>
  <si>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</si>
  <si>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</si>
  <si>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</si>
  <si>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</si>
  <si>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</si>
  <si>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</si>
  <si>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</si>
  <si>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</si>
  <si>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</si>
  <si>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</si>
  <si>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</si>
  <si>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</si>
  <si>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</si>
  <si>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</si>
  <si>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</si>
  <si>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</si>
  <si>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</si>
  <si>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</si>
  <si>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</si>
  <si>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</si>
  <si>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</si>
  <si>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</si>
  <si>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</si>
  <si>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</si>
  <si>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</si>
  <si>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</si>
  <si>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</si>
  <si>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</si>
  <si>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</si>
  <si>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</si>
  <si>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</si>
  <si>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</si>
  <si>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</si>
  <si>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</si>
  <si>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</si>
  <si>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</si>
  <si>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</si>
  <si>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</si>
  <si>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</si>
  <si>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</si>
  <si>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</si>
  <si>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</si>
  <si>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</si>
  <si>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</si>
  <si>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</si>
  <si>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</si>
  <si>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</si>
  <si>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</si>
  <si>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</si>
  <si>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</si>
  <si>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</si>
  <si>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</si>
  <si>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</si>
  <si>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</si>
  <si>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</si>
  <si>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</si>
  <si>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</si>
  <si>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</si>
  <si>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</si>
  <si>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</si>
  <si>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</si>
  <si>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</si>
  <si>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</si>
  <si>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</si>
  <si>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</si>
  <si>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</si>
  <si>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</si>
  <si>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</si>
  <si>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</si>
  <si>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</si>
  <si>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</si>
  <si>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</si>
  <si>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</si>
  <si>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</si>
  <si>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</si>
  <si>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</si>
  <si>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</si>
  <si>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</si>
  <si>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</si>
  <si>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</si>
  <si>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</si>
  <si>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</si>
  <si>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</si>
  <si>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</si>
  <si>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</si>
  <si>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</si>
  <si>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</si>
  <si>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</si>
  <si>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</si>
  <si>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</si>
  <si>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</si>
  <si>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</si>
  <si>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</si>
  <si>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</si>
  <si>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</si>
  <si>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</si>
  <si>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</si>
  <si>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</si>
  <si>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</si>
  <si>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</si>
  <si>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</si>
  <si>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</si>
  <si>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</si>
  <si>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</si>
  <si>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</si>
  <si>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</si>
  <si>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</si>
  <si>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</si>
  <si>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</si>
  <si>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</si>
  <si>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</si>
  <si>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</si>
  <si>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</si>
  <si>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</si>
  <si>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</si>
  <si>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</si>
  <si>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</si>
  <si>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</si>
  <si>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</si>
  <si>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</si>
  <si>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</si>
  <si>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</si>
  <si>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</si>
  <si>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</si>
  <si>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</si>
  <si>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</si>
  <si>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</si>
  <si>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</si>
  <si>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</si>
  <si>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</si>
  <si>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</si>
  <si>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</si>
  <si>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</si>
  <si>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</si>
  <si>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</si>
  <si>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</si>
  <si>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</si>
  <si>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</si>
  <si>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</si>
  <si>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</si>
  <si>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</si>
  <si>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</si>
  <si>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</si>
  <si>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</si>
  <si>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</si>
  <si>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</si>
  <si>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</si>
  <si>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</si>
  <si>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</si>
  <si>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</si>
  <si>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</si>
  <si>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</si>
  <si>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</si>
  <si>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</si>
  <si>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</si>
  <si>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</si>
  <si>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</si>
  <si>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</si>
  <si>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</si>
  <si>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</si>
  <si>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</si>
  <si>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</si>
  <si>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</si>
  <si>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</si>
  <si>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</si>
  <si>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</si>
  <si>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</si>
  <si>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</si>
  <si>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</si>
  <si>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</si>
  <si>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</si>
  <si>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</si>
  <si>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</si>
  <si>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</si>
  <si>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</si>
  <si>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</si>
  <si>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</si>
  <si>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</si>
  <si>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</si>
  <si>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</si>
  <si>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</si>
  <si>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</si>
  <si>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</si>
  <si>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</si>
  <si>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</si>
  <si>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</si>
  <si>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</si>
  <si>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</si>
  <si>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</si>
  <si>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</si>
  <si>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</si>
  <si>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</si>
  <si>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</si>
  <si>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</si>
  <si>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</si>
  <si>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</si>
  <si>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</si>
  <si>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</si>
  <si>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</si>
  <si>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</si>
  <si>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</si>
  <si>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</si>
  <si>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</si>
  <si>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</si>
  <si>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</si>
  <si>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</si>
  <si>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</si>
  <si>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</si>
  <si>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</si>
  <si>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</si>
  <si>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</si>
  <si>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</si>
  <si>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</si>
  <si>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</si>
  <si>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</si>
  <si>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</si>
  <si>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</si>
  <si>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</si>
  <si>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</si>
  <si>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</si>
  <si>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</si>
  <si>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</si>
  <si>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</si>
  <si>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</si>
  <si>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</si>
  <si>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</si>
  <si>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</si>
  <si>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</si>
  <si>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</si>
  <si>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</si>
  <si>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</si>
  <si>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</si>
  <si>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</si>
  <si>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</si>
  <si>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</si>
  <si>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</si>
  <si>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</si>
  <si>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</si>
  <si>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</si>
  <si>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</si>
  <si>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</si>
  <si>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</si>
  <si>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</si>
  <si>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</si>
  <si>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</si>
  <si>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</si>
  <si>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</si>
  <si>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</si>
  <si>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</si>
  <si>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</si>
  <si>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</si>
  <si>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</si>
  <si>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</si>
  <si>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</si>
  <si>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</si>
  <si>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</si>
  <si>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</si>
  <si>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</si>
  <si>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</si>
  <si>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</si>
  <si>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</si>
  <si>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</si>
  <si>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</si>
  <si>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</si>
  <si>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</si>
  <si>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</si>
  <si>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</si>
  <si>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</si>
  <si>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</si>
  <si>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</si>
  <si>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</si>
  <si>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</si>
  <si>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</si>
  <si>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</si>
  <si>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</si>
  <si>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</si>
  <si>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</si>
  <si>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</si>
  <si>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</si>
  <si>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</si>
  <si>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</si>
  <si>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</si>
  <si>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</si>
  <si>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</si>
  <si>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</si>
  <si>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</si>
  <si>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</si>
  <si>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</si>
  <si>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</si>
  <si>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</si>
  <si>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</si>
  <si>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</si>
  <si>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</si>
  <si>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</si>
  <si>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</si>
  <si>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</si>
  <si>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</si>
  <si>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</si>
  <si>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</si>
  <si>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</si>
  <si>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</si>
  <si>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</si>
  <si>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</si>
  <si>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</si>
  <si>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</si>
  <si>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</si>
  <si>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</si>
  <si>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</si>
  <si>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</si>
  <si>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</si>
  <si>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</si>
  <si>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</si>
  <si>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</si>
  <si>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</si>
  <si>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</si>
  <si>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</si>
  <si>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</si>
  <si>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</si>
  <si>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</si>
  <si>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</si>
  <si>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</si>
  <si>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</si>
  <si>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</si>
  <si>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</si>
  <si>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</si>
  <si>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</si>
  <si>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</si>
  <si>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</si>
  <si>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</si>
  <si>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</si>
  <si>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</si>
  <si>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</si>
  <si>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</si>
  <si>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</si>
  <si>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</si>
  <si>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</si>
  <si>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</si>
  <si>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</si>
  <si>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</si>
  <si>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</si>
  <si>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</si>
  <si>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</si>
  <si>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</si>
  <si>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</si>
  <si>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</si>
  <si>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</si>
  <si>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</si>
  <si>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</si>
  <si>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</si>
  <si>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</si>
  <si>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</si>
  <si>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</si>
  <si>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</si>
  <si>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</si>
  <si>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</si>
  <si>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</si>
  <si>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</si>
  <si>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</si>
  <si>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</si>
  <si>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</si>
  <si>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</si>
  <si>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</si>
  <si>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</si>
  <si>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</si>
  <si>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</si>
  <si>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</si>
  <si>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</si>
  <si>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</si>
  <si>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</si>
  <si>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</si>
  <si>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</si>
  <si>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</si>
  <si>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</si>
  <si>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</si>
  <si>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</si>
  <si>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</si>
  <si>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</si>
  <si>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</si>
  <si>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</si>
  <si>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</si>
  <si>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</si>
  <si>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</si>
  <si>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</si>
  <si>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</si>
  <si>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</si>
  <si>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</si>
  <si>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</si>
  <si>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</si>
  <si>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</si>
  <si>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</si>
  <si>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</si>
  <si>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</si>
  <si>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</si>
  <si>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</si>
  <si>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</si>
  <si>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</si>
  <si>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</si>
  <si>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</si>
  <si>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</si>
  <si>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</si>
  <si>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</si>
  <si>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</si>
  <si>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</si>
  <si>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</si>
  <si>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</si>
  <si>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</si>
  <si>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</si>
  <si>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</si>
  <si>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</si>
  <si>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</si>
  <si>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</si>
  <si>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</si>
  <si>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</si>
  <si>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</si>
  <si>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</si>
  <si>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</si>
  <si>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</si>
  <si>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</si>
  <si>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</si>
  <si>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</si>
  <si>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</si>
  <si>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</si>
  <si>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</si>
  <si>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</si>
  <si>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</si>
  <si>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</si>
  <si>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</si>
  <si>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</si>
  <si>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</si>
  <si>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</si>
  <si>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</si>
  <si>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</si>
  <si>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</si>
  <si>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</si>
  <si>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</si>
  <si>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</si>
  <si>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</si>
  <si>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</si>
  <si>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</si>
  <si>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</si>
  <si>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</si>
  <si>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</si>
  <si>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</si>
  <si>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</si>
  <si>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</si>
  <si>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</si>
  <si>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</si>
  <si>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</si>
  <si>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</si>
  <si>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</si>
  <si>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</si>
  <si>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</si>
  <si>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</si>
  <si>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</si>
  <si>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</si>
  <si>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</si>
  <si>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</si>
  <si>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</si>
  <si>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</si>
  <si>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</si>
  <si>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</si>
  <si>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</si>
  <si>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</si>
  <si>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</si>
  <si>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</si>
  <si>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</si>
  <si>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</si>
  <si>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</si>
  <si>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</si>
  <si>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</si>
  <si>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</si>
  <si>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</si>
  <si>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</si>
  <si>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</si>
  <si>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</si>
  <si>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</si>
  <si>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</si>
  <si>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</si>
  <si>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</si>
  <si>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</si>
  <si>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</si>
  <si>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</si>
  <si>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</si>
  <si>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</si>
  <si>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</si>
  <si>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</si>
  <si>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</si>
  <si>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</si>
  <si>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</si>
  <si>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</si>
  <si>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</si>
  <si>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</si>
  <si>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</si>
  <si>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</si>
  <si>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</si>
  <si>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</si>
  <si>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</si>
  <si>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</si>
  <si>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</si>
  <si>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</si>
  <si>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</si>
  <si>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</si>
  <si>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</si>
  <si>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</si>
  <si>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</si>
  <si>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</si>
  <si>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</si>
  <si>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</si>
  <si>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</si>
  <si>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</si>
  <si>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</si>
  <si>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</si>
  <si>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</si>
  <si>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</si>
  <si>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</si>
  <si>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</si>
  <si>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</si>
  <si>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</si>
  <si>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</si>
  <si>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</si>
  <si>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</si>
  <si>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</si>
  <si>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</si>
  <si>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</si>
  <si>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</si>
  <si>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</si>
  <si>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</si>
  <si>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</si>
  <si>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</si>
  <si>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</si>
  <si>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</si>
  <si>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</si>
  <si>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</si>
  <si>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</si>
  <si>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</si>
  <si>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</si>
  <si>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</si>
  <si>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</si>
  <si>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</si>
  <si>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</si>
  <si>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</si>
  <si>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</si>
  <si>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</si>
  <si>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</si>
  <si>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</si>
  <si>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</si>
  <si>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</si>
  <si>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</si>
  <si>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</si>
  <si>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</si>
  <si>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</si>
  <si>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</si>
  <si>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</si>
  <si>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</si>
  <si>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</si>
  <si>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</si>
  <si>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</si>
  <si>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</si>
  <si>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</si>
  <si>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</si>
  <si>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</si>
  <si>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</si>
  <si>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</si>
  <si>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</si>
  <si>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</si>
  <si>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</si>
  <si>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</si>
  <si>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</si>
  <si>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</si>
  <si>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</si>
  <si>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</si>
  <si>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</si>
  <si>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</si>
  <si>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</si>
  <si>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</si>
  <si>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</si>
  <si>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</si>
  <si>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</si>
  <si>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</si>
  <si>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</si>
  <si>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</si>
  <si>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</si>
  <si>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</si>
  <si>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</si>
  <si>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</si>
  <si>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</si>
  <si>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</si>
  <si>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</si>
  <si>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</si>
  <si>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</si>
  <si>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</si>
  <si>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</si>
  <si>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</si>
  <si>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</si>
  <si>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</si>
  <si>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</si>
  <si>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</si>
  <si>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</si>
  <si>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</si>
  <si>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</si>
  <si>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</si>
  <si>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</si>
  <si>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</si>
  <si>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</si>
  <si>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</si>
  <si>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</si>
  <si>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</si>
  <si>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</si>
  <si>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</si>
  <si>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</si>
  <si>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</si>
  <si>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</si>
  <si>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</si>
  <si>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</si>
  <si>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</si>
  <si>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</si>
  <si>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</si>
  <si>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</si>
  <si>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</si>
  <si>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</si>
  <si>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</si>
  <si>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</si>
  <si>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</si>
  <si>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</si>
  <si>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</si>
  <si>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</si>
  <si>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</si>
  <si>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</si>
  <si>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</si>
  <si>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</si>
  <si>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</si>
  <si>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</si>
  <si>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</si>
  <si>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</si>
  <si>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</si>
  <si>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</si>
  <si>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</si>
  <si>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</si>
  <si>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</si>
  <si>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</si>
  <si>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</si>
  <si>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</si>
  <si>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</si>
  <si>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</si>
  <si>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</si>
  <si>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</si>
  <si>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</si>
  <si>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</si>
  <si>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</si>
  <si>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</si>
  <si>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</si>
  <si>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</si>
  <si>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</si>
  <si>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</si>
  <si>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</si>
  <si>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</si>
  <si>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</si>
  <si>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</si>
  <si>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</si>
  <si>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</si>
  <si>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</si>
  <si>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</si>
  <si>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</si>
  <si>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</si>
  <si>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</si>
  <si>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</si>
  <si>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</si>
  <si>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</si>
  <si>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</si>
  <si>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</si>
  <si>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</si>
  <si>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</si>
  <si>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</si>
  <si>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</si>
  <si>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</si>
  <si>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</si>
  <si>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</si>
  <si>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</si>
  <si>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</si>
  <si>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</si>
  <si>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</si>
  <si>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</si>
  <si>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</si>
  <si>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</si>
  <si>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</si>
  <si>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</si>
  <si>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</si>
  <si>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</si>
  <si>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</si>
  <si>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</si>
  <si>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</si>
  <si>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</si>
  <si>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</si>
  <si>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</si>
  <si>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</si>
  <si>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</si>
  <si>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</si>
  <si>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</si>
  <si>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</si>
  <si>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</si>
  <si>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</si>
  <si>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</si>
  <si>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</si>
  <si>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</si>
  <si>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</si>
  <si>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</si>
  <si>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</si>
  <si>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</si>
  <si>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</si>
  <si>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</si>
  <si>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</si>
  <si>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</si>
  <si>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</si>
  <si>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</si>
  <si>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</si>
  <si>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</si>
  <si>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</si>
  <si>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</si>
  <si>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</si>
  <si>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</si>
  <si>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</si>
  <si>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</si>
  <si>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</si>
  <si>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</si>
  <si>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</si>
  <si>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</si>
  <si>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</si>
  <si>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</si>
  <si>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</si>
  <si>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</si>
  <si>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</si>
  <si>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</si>
  <si>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</si>
  <si>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</si>
  <si>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</si>
  <si>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</si>
  <si>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</si>
  <si>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</si>
  <si>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</si>
  <si>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</si>
  <si>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</si>
  <si>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</si>
  <si>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</si>
  <si>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</si>
  <si>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</si>
  <si>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</si>
  <si>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</si>
  <si>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</si>
  <si>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</si>
  <si>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</si>
  <si>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</si>
  <si>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</si>
  <si>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</si>
  <si>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</si>
  <si>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</si>
  <si>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</si>
  <si>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</si>
  <si>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</si>
  <si>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</si>
  <si>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</si>
  <si>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</si>
  <si>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</si>
  <si>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</si>
  <si>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</si>
  <si>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</si>
  <si>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</si>
  <si>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</si>
  <si>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</si>
  <si>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</si>
  <si>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</si>
  <si>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</si>
  <si>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</si>
  <si>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</si>
  <si>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</si>
  <si>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</si>
  <si>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</si>
  <si>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</si>
  <si>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</si>
  <si>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</si>
  <si>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</si>
  <si>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</si>
  <si>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</si>
  <si>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</si>
  <si>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</si>
  <si>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</si>
  <si>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</si>
  <si>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</si>
  <si>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</si>
  <si>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</si>
  <si>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</si>
  <si>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</si>
  <si>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</si>
  <si>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</si>
  <si>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</si>
  <si>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</si>
  <si>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</si>
  <si>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</si>
  <si>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</si>
  <si>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</si>
  <si>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</si>
  <si>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</si>
  <si>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</si>
  <si>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</si>
  <si>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</si>
  <si>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</si>
  <si>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</si>
  <si>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</si>
  <si>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</si>
  <si>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</si>
  <si>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</si>
  <si>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</si>
  <si>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</si>
  <si>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</si>
  <si>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</si>
  <si>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</si>
  <si>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</si>
  <si>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</si>
  <si>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</si>
  <si>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</si>
  <si>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</si>
  <si>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</si>
  <si>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</si>
  <si>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</si>
  <si>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</si>
  <si>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</si>
  <si>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</si>
  <si>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</si>
  <si>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</si>
  <si>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</si>
  <si>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</si>
  <si>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</si>
  <si>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</si>
  <si>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</si>
  <si>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</si>
  <si>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</si>
  <si>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</si>
  <si>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</si>
  <si>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</si>
  <si>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</si>
  <si>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</si>
  <si>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</si>
  <si>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</si>
  <si>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</si>
  <si>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</si>
  <si>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</si>
  <si>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</si>
  <si>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</si>
  <si>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</si>
  <si>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</si>
  <si>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</si>
  <si>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</si>
  <si>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</si>
  <si>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</si>
  <si>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</si>
  <si>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</si>
  <si>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</si>
  <si>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</si>
  <si>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</si>
  <si>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</si>
  <si>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</si>
  <si>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</si>
  <si>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</si>
  <si>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</si>
  <si>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</si>
  <si>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</si>
  <si>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</si>
  <si>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</si>
  <si>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</si>
  <si>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</si>
  <si>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</si>
  <si>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</si>
  <si>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</si>
  <si>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</si>
  <si>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</si>
  <si>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</si>
  <si>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</si>
  <si>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</si>
  <si>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</si>
  <si>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</si>
  <si>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</si>
  <si>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</si>
  <si>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</si>
  <si>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</si>
  <si>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</si>
  <si>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</si>
  <si>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</si>
  <si>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</si>
  <si>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</si>
  <si>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</si>
  <si>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</si>
  <si>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</si>
  <si>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</si>
  <si>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</si>
  <si>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</si>
  <si>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</si>
  <si>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</si>
  <si>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</si>
  <si>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</si>
  <si>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</si>
  <si>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</si>
  <si>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</si>
  <si>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</si>
  <si>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</si>
  <si>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</si>
  <si>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</si>
  <si>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</si>
  <si>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</si>
  <si>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</si>
  <si>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</si>
  <si>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</si>
  <si>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</si>
  <si>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</si>
  <si>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</si>
  <si>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</si>
  <si>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</si>
  <si>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</si>
  <si>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</si>
  <si>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</si>
  <si>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</si>
  <si>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</si>
  <si>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</si>
  <si>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</si>
  <si>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</si>
  <si>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</si>
  <si>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</si>
  <si>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</si>
  <si>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</si>
  <si>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</si>
  <si>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</si>
  <si>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</si>
  <si>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</si>
  <si>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</si>
  <si>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</si>
  <si>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</si>
  <si>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</si>
  <si>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</si>
  <si>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</si>
  <si>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</si>
  <si>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</si>
  <si>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</si>
  <si>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</si>
  <si>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</si>
  <si>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</si>
  <si>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</si>
  <si>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</si>
  <si>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</si>
  <si>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</si>
  <si>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</si>
  <si>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</si>
  <si>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</si>
  <si>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</si>
  <si>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</si>
  <si>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</si>
  <si>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</si>
  <si>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</si>
  <si>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</si>
  <si>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</si>
  <si>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</si>
  <si>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</si>
  <si>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</si>
  <si>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</si>
  <si>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</si>
  <si>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</si>
  <si>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</si>
  <si>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</si>
  <si>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</si>
  <si>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</si>
  <si>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</si>
  <si>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</si>
  <si>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</si>
  <si>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</si>
  <si>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</si>
  <si>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</si>
  <si>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</si>
  <si>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</si>
  <si>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</si>
  <si>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</si>
  <si>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</si>
  <si>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</si>
  <si>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</si>
  <si>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</si>
  <si>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</si>
  <si>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</si>
  <si>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</si>
  <si>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</si>
  <si>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</si>
  <si>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</si>
  <si>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</si>
  <si>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</si>
  <si>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</si>
  <si>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</si>
  <si>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</si>
  <si>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</si>
  <si>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</si>
  <si>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</si>
  <si>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</si>
  <si>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</si>
  <si>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</si>
  <si>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</si>
  <si>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</si>
  <si>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</si>
  <si>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</si>
  <si>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</si>
  <si>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</si>
  <si>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</si>
  <si>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</si>
  <si>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</si>
  <si>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</si>
  <si>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</si>
  <si>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</si>
  <si>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</si>
  <si>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</si>
  <si>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</si>
  <si>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</si>
  <si>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</si>
  <si>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</si>
  <si>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</si>
  <si>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</si>
  <si>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</si>
  <si>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</si>
  <si>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</si>
  <si>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</si>
  <si>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</si>
  <si>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</si>
  <si>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</si>
  <si>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</si>
  <si>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</si>
  <si>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</si>
  <si>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</si>
  <si>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</si>
  <si>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</si>
  <si>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</si>
  <si>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</si>
  <si>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</si>
  <si>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</si>
  <si>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</si>
  <si>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</si>
  <si>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</si>
  <si>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</si>
  <si>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</si>
  <si>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</si>
  <si>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</si>
  <si>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</si>
  <si>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</si>
  <si>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</si>
  <si>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</si>
  <si>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</si>
  <si>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</si>
  <si>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</si>
  <si>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</si>
  <si>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</si>
  <si>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</si>
  <si>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</si>
  <si>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</si>
  <si>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</si>
  <si>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</si>
  <si>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</si>
  <si>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</si>
  <si>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</si>
  <si>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</si>
  <si>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</si>
  <si>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</si>
  <si>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</si>
  <si>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</si>
  <si>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</si>
  <si>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</si>
  <si>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</si>
  <si>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</si>
  <si>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</si>
  <si>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</si>
  <si>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</si>
  <si>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</si>
  <si>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</si>
  <si>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</si>
  <si>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</si>
  <si>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</si>
  <si>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</si>
  <si>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</si>
  <si>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</si>
  <si>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</si>
  <si>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</si>
  <si>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</si>
  <si>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</si>
  <si>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</si>
  <si>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</si>
  <si>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</si>
  <si>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</si>
  <si>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</si>
  <si>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</si>
  <si>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</si>
  <si>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</si>
  <si>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</si>
  <si>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</si>
  <si>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</si>
  <si>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</si>
  <si>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</si>
  <si>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</si>
  <si>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</si>
  <si>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</si>
  <si>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</si>
  <si>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</si>
  <si>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</si>
  <si>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</si>
  <si>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</si>
  <si>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</si>
  <si>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</si>
  <si>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</si>
  <si>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</si>
  <si>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</si>
  <si>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</si>
  <si>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</si>
  <si>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</si>
  <si>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</si>
  <si>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</si>
  <si>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</si>
  <si>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</si>
  <si>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</si>
  <si>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</si>
  <si>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</si>
  <si>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</si>
  <si>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</si>
  <si>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</si>
  <si>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</si>
  <si>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</si>
  <si>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</si>
  <si>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</si>
  <si>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</si>
  <si>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</si>
  <si>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</si>
  <si>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</si>
  <si>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</si>
  <si>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</si>
  <si>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</si>
  <si>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</si>
  <si>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</si>
  <si>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</si>
  <si>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</si>
  <si>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</si>
  <si>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</si>
  <si>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</si>
  <si>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</si>
  <si>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</si>
  <si>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</si>
  <si>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</si>
  <si>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</si>
  <si>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</si>
  <si>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</si>
  <si>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</si>
  <si>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</si>
  <si>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</si>
  <si>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</si>
  <si>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</si>
  <si>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</si>
  <si>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</si>
  <si>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</si>
  <si>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</si>
  <si>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</si>
  <si>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</si>
  <si>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</si>
  <si>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</si>
  <si>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</si>
  <si>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</si>
  <si>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</si>
  <si>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</si>
  <si>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</si>
  <si>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</si>
  <si>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</si>
  <si>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</si>
  <si>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</si>
  <si>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</si>
  <si>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</si>
  <si>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</si>
  <si>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</si>
  <si>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</si>
  <si>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</si>
  <si>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</si>
  <si>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</si>
  <si>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</si>
  <si>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</si>
  <si>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</si>
  <si>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</si>
  <si>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</si>
  <si>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</si>
  <si>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</si>
  <si>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</si>
  <si>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</si>
  <si>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</si>
  <si>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</si>
  <si>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</si>
  <si>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</si>
  <si>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</si>
  <si>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</si>
  <si>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</si>
  <si>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</si>
  <si>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</si>
  <si>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</si>
  <si>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</si>
  <si>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</si>
  <si>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</si>
  <si>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</si>
  <si>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</si>
  <si>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</si>
  <si>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</si>
  <si>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</si>
  <si>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</si>
  <si>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</si>
  <si>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</si>
  <si>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</si>
  <si>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</si>
  <si>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</si>
  <si>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</si>
  <si>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</si>
  <si>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</si>
  <si>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</si>
  <si>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</si>
  <si>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</si>
  <si>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</si>
  <si>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</si>
  <si>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</si>
  <si>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</si>
  <si>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</si>
  <si>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</si>
  <si>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</si>
  <si>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</si>
  <si>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</si>
  <si>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</si>
  <si>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</si>
  <si>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</si>
  <si>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</si>
  <si>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</si>
  <si>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</si>
  <si>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</si>
  <si>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</si>
  <si>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</si>
  <si>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</si>
  <si>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</si>
  <si>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</si>
  <si>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</si>
  <si>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</si>
  <si>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</si>
  <si>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</si>
  <si>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</si>
  <si>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</si>
  <si>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</si>
  <si>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</si>
  <si>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</si>
  <si>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</si>
  <si>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</si>
  <si>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</si>
  <si>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</si>
  <si>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</si>
  <si>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</si>
  <si>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</si>
  <si>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</si>
  <si>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</si>
  <si>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</si>
  <si>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</si>
  <si>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</si>
  <si>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</si>
  <si>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</si>
  <si>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</si>
  <si>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</si>
  <si>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</si>
  <si>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</si>
  <si>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</si>
  <si>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</si>
  <si>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</si>
  <si>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</si>
  <si>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</si>
  <si>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</si>
  <si>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</si>
  <si>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</si>
  <si>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</si>
  <si>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</si>
  <si>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</si>
  <si>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</si>
  <si>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</si>
  <si>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</si>
  <si>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</si>
  <si>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</si>
  <si>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</si>
  <si>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</si>
  <si>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</si>
  <si>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</si>
  <si>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</si>
  <si>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</si>
  <si>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</si>
  <si>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</si>
  <si>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</si>
  <si>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</si>
  <si>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</si>
  <si>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</si>
  <si>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</si>
  <si>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</si>
  <si>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</si>
  <si>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</si>
  <si>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</si>
  <si>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</si>
  <si>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</si>
  <si>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</si>
  <si>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</si>
  <si>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</si>
  <si>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</si>
  <si>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</si>
  <si>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</si>
  <si>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</si>
  <si>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</si>
  <si>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</si>
  <si>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</si>
  <si>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</si>
  <si>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</si>
  <si>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</si>
  <si>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</si>
  <si>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</si>
  <si>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</si>
  <si>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</si>
  <si>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</si>
  <si>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</si>
  <si>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</si>
  <si>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</si>
  <si>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</si>
  <si>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</si>
  <si>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</si>
  <si>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</si>
  <si>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</si>
  <si>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</si>
  <si>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</si>
  <si>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</si>
  <si>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</si>
  <si>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</si>
  <si>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</si>
  <si>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</si>
  <si>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</si>
  <si>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</si>
  <si>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</si>
  <si>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</si>
  <si>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</si>
  <si>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</si>
  <si>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</si>
  <si>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</si>
  <si>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</si>
  <si>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</si>
  <si>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</si>
  <si>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</si>
  <si>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</si>
  <si>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</si>
  <si>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</si>
  <si>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</si>
  <si>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</si>
  <si>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</si>
  <si>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</si>
  <si>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</si>
  <si>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</si>
  <si>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</si>
  <si>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</si>
  <si>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</si>
  <si>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</si>
  <si>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</si>
  <si>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</si>
  <si>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</si>
  <si>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</si>
  <si>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</si>
  <si>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</si>
  <si>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</si>
  <si>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</si>
  <si>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</si>
  <si>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</si>
  <si>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</si>
  <si>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</si>
  <si>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</si>
  <si>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</si>
  <si>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</si>
  <si>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</si>
  <si>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</si>
  <si>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</si>
  <si>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</si>
  <si>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</si>
  <si>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</si>
  <si>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</si>
  <si>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</si>
  <si>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</si>
  <si>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</si>
  <si>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</si>
  <si>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</si>
  <si>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</si>
  <si>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</si>
  <si>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</si>
  <si>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</si>
  <si>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</si>
  <si>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</si>
  <si>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</si>
  <si>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</si>
  <si>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</si>
  <si>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</si>
  <si>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</si>
  <si>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</si>
  <si>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</si>
  <si>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</si>
  <si>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</si>
  <si>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</si>
  <si>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</si>
  <si>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</si>
  <si>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</si>
  <si>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</si>
  <si>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</si>
  <si>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</si>
  <si>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</si>
  <si>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</si>
  <si>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</si>
  <si>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</si>
  <si>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</si>
  <si>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</si>
  <si>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</si>
  <si>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</si>
  <si>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</si>
  <si>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</si>
  <si>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</si>
  <si>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</si>
  <si>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</si>
  <si>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</si>
  <si>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</si>
  <si>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</si>
  <si>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</si>
  <si>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</si>
  <si>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</si>
  <si>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</si>
  <si>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</si>
  <si>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</si>
  <si>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</si>
  <si>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</si>
  <si>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</si>
  <si>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</si>
  <si>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</si>
  <si>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</si>
  <si>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</si>
  <si>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</si>
  <si>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</si>
  <si>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</si>
  <si>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</si>
  <si>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</si>
  <si>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</si>
  <si>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</si>
  <si>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</si>
  <si>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</si>
  <si>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</si>
  <si>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</si>
  <si>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</si>
  <si>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</si>
  <si>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</si>
  <si>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</si>
  <si>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</si>
  <si>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</si>
  <si>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</si>
  <si>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</si>
  <si>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</si>
  <si>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</si>
  <si>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</si>
  <si>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</si>
  <si>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</si>
  <si>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</si>
  <si>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</si>
  <si>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</si>
  <si>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</si>
  <si>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</si>
  <si>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</si>
  <si>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</si>
  <si>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</si>
  <si>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</si>
  <si>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</si>
  <si>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</si>
  <si>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</si>
  <si>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</si>
  <si>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</si>
  <si>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</si>
  <si>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</si>
  <si>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</si>
  <si>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</si>
  <si>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</si>
  <si>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</si>
  <si>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</si>
  <si>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</si>
  <si>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</si>
  <si>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</si>
  <si>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</si>
  <si>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</si>
  <si>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</si>
  <si>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</si>
  <si>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</si>
  <si>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</si>
  <si>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</si>
  <si>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</si>
  <si>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</si>
  <si>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</si>
  <si>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</si>
  <si>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</si>
  <si>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</si>
  <si>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</si>
  <si>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</si>
  <si>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</si>
  <si>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</si>
  <si>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</si>
  <si>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</si>
  <si>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</si>
  <si>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</si>
  <si>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</si>
  <si>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</si>
  <si>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</si>
  <si>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</si>
  <si>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</si>
  <si>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</si>
  <si>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</si>
  <si>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</si>
  <si>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</si>
  <si>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</si>
  <si>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</si>
  <si>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</si>
  <si>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</si>
  <si>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</si>
  <si>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</si>
  <si>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</si>
  <si>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</si>
  <si>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</si>
  <si>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</si>
  <si>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</si>
  <si>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</si>
  <si>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</si>
  <si>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</si>
  <si>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</si>
  <si>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</si>
  <si>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</si>
  <si>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</si>
  <si>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</si>
  <si>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</si>
  <si>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</si>
  <si>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</si>
  <si>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</si>
  <si>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</si>
  <si>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</si>
  <si>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</si>
  <si>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</si>
  <si>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</si>
  <si>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</si>
  <si>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</si>
  <si>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</si>
  <si>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</si>
  <si>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</si>
  <si>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</si>
  <si>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</si>
  <si>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</si>
  <si>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</si>
  <si>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</si>
  <si>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</si>
  <si>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</si>
  <si>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</si>
  <si>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</si>
  <si>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</si>
  <si>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</si>
  <si>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</si>
  <si>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</si>
  <si>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</si>
  <si>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</si>
  <si>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</si>
  <si>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</si>
  <si>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</si>
  <si>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</si>
  <si>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</si>
  <si>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</si>
  <si>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</si>
  <si>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</si>
  <si>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</si>
  <si>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</si>
  <si>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</si>
  <si>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</si>
  <si>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</si>
  <si>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</si>
  <si>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</si>
  <si>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</si>
  <si>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</si>
  <si>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</si>
  <si>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</si>
  <si>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</si>
  <si>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</si>
  <si>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</si>
  <si>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</si>
  <si>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</si>
  <si>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</si>
  <si>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</si>
  <si>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</si>
  <si>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</si>
  <si>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</si>
  <si>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</si>
  <si>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</si>
  <si>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</si>
  <si>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</si>
  <si>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</si>
  <si>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</si>
  <si>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</si>
  <si>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</si>
  <si>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</si>
  <si>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</si>
  <si>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</si>
  <si>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</si>
  <si>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</si>
  <si>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</si>
  <si>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</si>
  <si>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</si>
  <si>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</si>
  <si>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</si>
  <si>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</si>
  <si>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</si>
  <si>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</si>
  <si>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</si>
  <si>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</si>
  <si>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</si>
  <si>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</si>
  <si>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</si>
  <si>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</si>
  <si>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</si>
  <si>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</si>
  <si>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</si>
  <si>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</si>
  <si>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</si>
  <si>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</si>
  <si>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</si>
  <si>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</si>
  <si>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</si>
  <si>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</si>
  <si>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</si>
  <si>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</si>
  <si>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</si>
  <si>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</si>
  <si>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</si>
  <si>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</si>
  <si>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</si>
  <si>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</si>
  <si>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</si>
  <si>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</si>
  <si>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</si>
  <si>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</si>
  <si>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</si>
  <si>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</si>
  <si>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</si>
  <si>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</si>
  <si>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</si>
  <si>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</si>
  <si>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</si>
  <si>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</si>
  <si>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</si>
  <si>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</si>
  <si>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</si>
  <si>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</si>
  <si>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</si>
  <si>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</si>
  <si>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</si>
  <si>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</si>
  <si>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</si>
  <si>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</si>
  <si>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</si>
  <si>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</si>
  <si>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</si>
  <si>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</si>
  <si>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</si>
  <si>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</si>
  <si>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</si>
  <si>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</si>
  <si>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</si>
  <si>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</si>
  <si>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</si>
  <si>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</si>
  <si>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</si>
  <si>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</si>
  <si>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</si>
  <si>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</si>
  <si>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</si>
  <si>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</si>
  <si>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</si>
  <si>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</si>
  <si>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</si>
  <si>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</si>
  <si>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</si>
  <si>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</si>
  <si>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</si>
  <si>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</si>
  <si>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</si>
  <si>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</si>
  <si>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</si>
  <si>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</si>
  <si>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</si>
  <si>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</si>
  <si>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</si>
  <si>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</si>
  <si>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</si>
  <si>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</si>
  <si>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</si>
  <si>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</si>
  <si>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</si>
  <si>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</si>
  <si>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</si>
  <si>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</si>
  <si>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</si>
  <si>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</si>
  <si>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</si>
  <si>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</si>
  <si>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</si>
  <si>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</si>
  <si>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</si>
  <si>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</si>
  <si>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</si>
  <si>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</si>
  <si>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</si>
  <si>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</si>
  <si>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</si>
  <si>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</si>
  <si>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</si>
  <si>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</si>
  <si>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</si>
  <si>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</si>
  <si>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</si>
  <si>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</si>
  <si>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</si>
  <si>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</si>
  <si>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</si>
  <si>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</si>
  <si>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</si>
  <si>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</si>
  <si>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</si>
  <si>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</si>
  <si>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</si>
  <si>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</si>
  <si>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</si>
  <si>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</si>
  <si>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</si>
  <si>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</si>
  <si>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</si>
  <si>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</si>
  <si>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</si>
  <si>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</si>
  <si>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</si>
  <si>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</si>
  <si>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</si>
  <si>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</si>
  <si>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</si>
  <si>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</si>
  <si>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</si>
  <si>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</si>
  <si>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</si>
  <si>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</si>
  <si>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</si>
  <si>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</si>
  <si>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</si>
  <si>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</si>
  <si>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</si>
  <si>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</si>
  <si>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</si>
  <si>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</si>
  <si>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</si>
  <si>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</si>
  <si>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</si>
  <si>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</si>
  <si>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</si>
  <si>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</si>
  <si>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</si>
  <si>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</si>
  <si>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</si>
  <si>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</si>
  <si>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</si>
  <si>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</si>
  <si>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</si>
  <si>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</si>
  <si>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</si>
  <si>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</si>
  <si>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</si>
  <si>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</si>
  <si>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</si>
  <si>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</si>
  <si>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</si>
  <si>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</si>
  <si>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</si>
  <si>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</si>
  <si>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</si>
  <si>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</si>
  <si>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</si>
  <si>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</si>
  <si>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</si>
  <si>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</si>
  <si>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</si>
  <si>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</si>
  <si>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</si>
  <si>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</si>
  <si>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</si>
  <si>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</si>
  <si>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</si>
  <si>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</si>
  <si>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</si>
  <si>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</si>
  <si>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</si>
  <si>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</si>
  <si>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</si>
  <si>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</si>
  <si>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</si>
  <si>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</si>
  <si>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</si>
  <si>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</si>
  <si>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</si>
  <si>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</si>
  <si>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</si>
  <si>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</si>
  <si>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</si>
  <si>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</si>
  <si>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</si>
  <si>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</si>
  <si>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</si>
  <si>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</si>
  <si>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</si>
  <si>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</si>
  <si>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</si>
  <si>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</si>
  <si>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</si>
  <si>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</si>
  <si>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</si>
  <si>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</si>
  <si>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</si>
  <si>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</si>
  <si>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</si>
  <si>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</si>
  <si>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</si>
  <si>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</si>
  <si>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</si>
  <si>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</si>
  <si>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</si>
  <si>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</si>
  <si>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</si>
  <si>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</si>
  <si>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</si>
  <si>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</si>
  <si>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</si>
  <si>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</si>
  <si>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</si>
  <si>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</si>
  <si>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</si>
  <si>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</si>
  <si>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</si>
  <si>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</si>
  <si>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</si>
  <si>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</si>
  <si>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</si>
  <si>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</si>
  <si>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</si>
  <si>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</si>
  <si>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</si>
  <si>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</si>
  <si>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</si>
  <si>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</si>
  <si>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</si>
  <si>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</si>
  <si>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</si>
  <si>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</si>
  <si>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</si>
  <si>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</si>
  <si>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</si>
  <si>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</si>
  <si>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</si>
  <si>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</si>
  <si>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</si>
  <si>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</si>
  <si>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</si>
  <si>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</si>
  <si>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</si>
  <si>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</si>
  <si>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</si>
  <si>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</si>
  <si>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</si>
  <si>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</si>
  <si>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</si>
  <si>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</si>
  <si>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</si>
  <si>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</si>
  <si>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</si>
  <si>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</si>
  <si>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</si>
  <si>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</si>
  <si>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</si>
  <si>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</si>
  <si>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</si>
  <si>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</si>
  <si>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</si>
  <si>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</si>
  <si>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</si>
  <si>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</si>
  <si>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</si>
  <si>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</si>
  <si>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</si>
  <si>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</si>
  <si>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</si>
  <si>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</si>
  <si>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</si>
  <si>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</si>
  <si>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</si>
  <si>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</si>
  <si>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</si>
  <si>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</si>
  <si>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</si>
  <si>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</si>
  <si>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</si>
  <si>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</si>
  <si>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</si>
  <si>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</si>
  <si>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</si>
  <si>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</si>
  <si>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</si>
  <si>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</si>
  <si>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</si>
  <si>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</si>
  <si>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</si>
  <si>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</si>
  <si>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</si>
  <si>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</si>
  <si>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</si>
  <si>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</si>
  <si>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</si>
  <si>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</si>
  <si>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</si>
  <si>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</si>
  <si>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</si>
  <si>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</si>
  <si>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</si>
  <si>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</si>
  <si>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</si>
  <si>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</si>
  <si>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</si>
  <si>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</si>
  <si>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</si>
  <si>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</si>
  <si>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</si>
  <si>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</si>
  <si>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</si>
  <si>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</si>
  <si>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</si>
  <si>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</si>
  <si>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</si>
  <si>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</si>
  <si>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</si>
  <si>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</si>
  <si>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</si>
  <si>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</si>
  <si>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</si>
  <si>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</si>
  <si>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</si>
  <si>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</si>
  <si>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</si>
  <si>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</si>
  <si>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</si>
  <si>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</si>
  <si>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</si>
  <si>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</si>
  <si>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</si>
  <si>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</si>
  <si>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</si>
  <si>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</si>
  <si>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</si>
  <si>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</si>
  <si>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</si>
  <si>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</si>
  <si>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</si>
  <si>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</si>
  <si>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</si>
  <si>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</si>
  <si>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</si>
  <si>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</si>
  <si>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</si>
  <si>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</si>
  <si>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</si>
  <si>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</si>
  <si>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</si>
  <si>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</si>
  <si>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</si>
  <si>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</si>
  <si>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</si>
  <si>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</si>
  <si>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</si>
  <si>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</si>
  <si>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</si>
  <si>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</si>
  <si>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</si>
  <si>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</si>
  <si>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</si>
  <si>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</si>
  <si>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</si>
  <si>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</si>
  <si>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</si>
  <si>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</si>
  <si>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</si>
  <si>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</si>
  <si>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</si>
  <si>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</si>
  <si>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</si>
  <si>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</si>
  <si>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</si>
  <si>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</si>
  <si>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</si>
  <si>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</si>
  <si>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</si>
  <si>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</si>
  <si>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</si>
  <si>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</si>
  <si>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</si>
  <si>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</si>
  <si>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</si>
  <si>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</si>
  <si>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</si>
  <si>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</si>
  <si>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</si>
  <si>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</si>
  <si>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</si>
  <si>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</si>
  <si>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</si>
  <si>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</si>
  <si>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</si>
  <si>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</si>
  <si>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</si>
  <si>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</si>
  <si>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</si>
  <si>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</si>
  <si>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</si>
  <si>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</si>
  <si>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</si>
  <si>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</si>
  <si>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</si>
  <si>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</si>
  <si>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</si>
  <si>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</si>
  <si>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</si>
  <si>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</si>
  <si>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</si>
  <si>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</si>
  <si>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</si>
  <si>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</si>
  <si>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</si>
  <si>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</si>
  <si>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</si>
  <si>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</si>
  <si>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</si>
  <si>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</si>
  <si>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</si>
  <si>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</si>
  <si>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</si>
  <si>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</si>
  <si>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</si>
  <si>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</si>
  <si>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</si>
  <si>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</si>
  <si>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</si>
  <si>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</si>
  <si>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</si>
  <si>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</si>
  <si>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</si>
  <si>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</si>
  <si>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</si>
  <si>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</si>
  <si>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</si>
  <si>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</si>
  <si>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</si>
  <si>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</si>
  <si>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</si>
  <si>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</si>
  <si>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</si>
  <si>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</si>
  <si>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</si>
  <si>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</si>
  <si>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</si>
  <si>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</si>
  <si>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</si>
  <si>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</si>
  <si>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</si>
  <si>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</si>
  <si>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</si>
  <si>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</si>
  <si>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</si>
  <si>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</si>
  <si>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</si>
  <si>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</si>
  <si>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</si>
  <si>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</si>
  <si>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</si>
  <si>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</si>
  <si>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</si>
  <si>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</si>
  <si>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</si>
  <si>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</si>
  <si>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</si>
  <si>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</si>
  <si>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</si>
  <si>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</si>
  <si>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</si>
  <si>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</si>
  <si>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</si>
  <si>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</si>
  <si>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</si>
  <si>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</si>
  <si>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</si>
  <si>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</si>
  <si>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</si>
  <si>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</si>
  <si>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</si>
  <si>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</si>
  <si>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</si>
  <si>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</si>
  <si>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</si>
  <si>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</si>
  <si>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</si>
  <si>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</si>
  <si>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</si>
  <si>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</si>
  <si>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</si>
  <si>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</si>
  <si>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</si>
  <si>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</si>
  <si>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</si>
  <si>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</si>
  <si>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</si>
  <si>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</si>
  <si>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</si>
  <si>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</si>
  <si>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</si>
  <si>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</si>
  <si>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</si>
  <si>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</si>
  <si>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</si>
  <si>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</si>
  <si>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</si>
  <si>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</si>
  <si>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</si>
  <si>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</si>
  <si>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</si>
  <si>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</si>
  <si>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</si>
  <si>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</si>
  <si>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</si>
  <si>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</si>
  <si>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</si>
  <si>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</si>
  <si>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</si>
  <si>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</si>
  <si>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</si>
  <si>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</si>
  <si>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</si>
  <si>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</si>
  <si>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</si>
  <si>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</si>
  <si>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</si>
  <si>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</si>
  <si>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</si>
  <si>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</si>
  <si>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</si>
  <si>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</si>
  <si>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</si>
  <si>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</si>
  <si>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</si>
  <si>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</si>
  <si>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</si>
  <si>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</si>
  <si>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</si>
  <si>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</si>
  <si>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</si>
  <si>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</si>
  <si>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</si>
  <si>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</si>
  <si>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</si>
  <si>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</si>
  <si>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</si>
  <si>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</si>
  <si>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</si>
  <si>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</si>
  <si>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</si>
  <si>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</si>
  <si>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</si>
  <si>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</si>
  <si>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</si>
  <si>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</si>
  <si>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</si>
  <si>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</si>
  <si>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</si>
  <si>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</si>
  <si>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</si>
  <si>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</si>
  <si>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</si>
  <si>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</si>
  <si>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</si>
  <si>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</si>
  <si>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</si>
  <si>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</si>
  <si>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</si>
  <si>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</si>
  <si>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</si>
  <si>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</si>
  <si>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</si>
  <si>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</si>
  <si>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</si>
  <si>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</si>
  <si>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</si>
  <si>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</si>
  <si>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</si>
  <si>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</si>
  <si>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</si>
  <si>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</si>
  <si>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</si>
  <si>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</si>
  <si>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</si>
  <si>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</si>
  <si>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</si>
  <si>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</si>
  <si>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</si>
  <si>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</si>
  <si>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</si>
  <si>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</si>
  <si>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</si>
  <si>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</si>
  <si>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</si>
  <si>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</si>
  <si>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</si>
  <si>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</si>
  <si>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</si>
  <si>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</si>
  <si>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</si>
  <si>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</si>
  <si>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</si>
  <si>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</si>
  <si>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</si>
  <si>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</si>
  <si>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</si>
  <si>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</si>
  <si>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</si>
  <si>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</si>
  <si>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</si>
  <si>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</si>
  <si>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</si>
  <si>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</si>
  <si>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</si>
  <si>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</si>
  <si>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</si>
  <si>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</si>
  <si>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</si>
  <si>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</si>
  <si>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</si>
  <si>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</si>
  <si>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</si>
  <si>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</si>
  <si>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</si>
  <si>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</si>
  <si>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</si>
  <si>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</si>
  <si>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</si>
  <si>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</si>
  <si>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</si>
  <si>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</si>
  <si>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</si>
  <si>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</si>
  <si>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</si>
  <si>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</si>
  <si>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</si>
  <si>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</si>
  <si>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</si>
  <si>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</si>
  <si>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</si>
  <si>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</si>
  <si>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</si>
  <si>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</si>
  <si>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</si>
  <si>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</si>
  <si>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</si>
  <si>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</si>
  <si>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</si>
  <si>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</si>
  <si>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</si>
  <si>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</si>
  <si>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</si>
  <si>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</si>
  <si>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</si>
  <si>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</si>
  <si>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</si>
  <si>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</si>
  <si>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</si>
  <si>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</si>
  <si>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</si>
  <si>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</si>
  <si>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</si>
  <si>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</si>
  <si>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</si>
  <si>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</si>
  <si>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</si>
  <si>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</si>
  <si>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</si>
  <si>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</si>
  <si>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</si>
  <si>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</si>
  <si>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</si>
  <si>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</si>
  <si>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</si>
  <si>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</si>
  <si>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</si>
  <si>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</si>
  <si>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</si>
  <si>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</si>
  <si>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</si>
  <si>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</si>
  <si>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</si>
  <si>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</si>
  <si>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</si>
  <si>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</si>
  <si>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</si>
  <si>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</si>
  <si>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</si>
  <si>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</si>
  <si>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</si>
  <si>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</si>
  <si>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</si>
  <si>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</si>
  <si>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</si>
  <si>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</si>
  <si>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</si>
  <si>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</si>
  <si>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</si>
  <si>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</si>
  <si>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</si>
  <si>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</si>
  <si>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</si>
  <si>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</si>
  <si>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</si>
  <si>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</si>
  <si>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</si>
  <si>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</si>
  <si>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</si>
  <si>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</si>
  <si>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</si>
  <si>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</si>
  <si>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</si>
  <si>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</si>
  <si>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</si>
  <si>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</si>
  <si>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</si>
  <si>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</si>
  <si>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</si>
  <si>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</si>
  <si>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</si>
  <si>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</si>
  <si>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</si>
  <si>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</si>
  <si>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</si>
  <si>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</si>
  <si>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</si>
  <si>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</si>
  <si>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</si>
  <si>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</si>
  <si>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</si>
  <si>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</si>
  <si>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</si>
  <si>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</si>
  <si>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</si>
  <si>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</si>
  <si>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</si>
  <si>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</si>
  <si>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</si>
  <si>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</si>
  <si>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</si>
  <si>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</si>
  <si>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</si>
  <si>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</si>
  <si>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</si>
  <si>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</si>
  <si>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</si>
  <si>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</si>
  <si>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</si>
  <si>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</si>
  <si>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</si>
  <si>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</si>
  <si>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</si>
  <si>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</si>
  <si>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</si>
  <si>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</si>
  <si>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</si>
  <si>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</si>
  <si>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</si>
  <si>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</si>
  <si>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</si>
  <si>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</si>
  <si>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</si>
  <si>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</si>
  <si>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</si>
  <si>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</si>
  <si>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</si>
  <si>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</si>
  <si>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</si>
  <si>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</si>
  <si>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</si>
  <si>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</si>
  <si>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</si>
  <si>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</si>
  <si>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</si>
  <si>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</si>
  <si>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</si>
  <si>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</si>
  <si>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</si>
  <si>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</si>
  <si>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</si>
  <si>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</si>
  <si>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</si>
  <si>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</si>
  <si>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</si>
  <si>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</si>
  <si>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</si>
  <si>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</si>
  <si>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</si>
  <si>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</si>
  <si>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</si>
  <si>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</si>
  <si>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</si>
  <si>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</si>
  <si>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</si>
  <si>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</si>
  <si>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</si>
  <si>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</si>
  <si>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</si>
  <si>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</si>
  <si>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</si>
  <si>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</si>
  <si>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</si>
  <si>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</si>
  <si>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</si>
  <si>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</si>
  <si>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</si>
  <si>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</si>
  <si>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</si>
  <si>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</si>
  <si>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</si>
  <si>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</si>
  <si>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</si>
  <si>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</si>
  <si>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</si>
  <si>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</si>
  <si>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</si>
  <si>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</si>
  <si>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</si>
  <si>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</si>
  <si>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</si>
  <si>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</si>
  <si>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</si>
  <si>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</si>
  <si>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</si>
  <si>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</si>
  <si>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</si>
  <si>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</si>
  <si>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</si>
  <si>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</si>
  <si>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</si>
  <si>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</si>
  <si>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</si>
  <si>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</si>
  <si>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</si>
  <si>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</si>
  <si>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</si>
  <si>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</si>
  <si>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</si>
  <si>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</si>
  <si>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</si>
  <si>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</si>
  <si>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</si>
  <si>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</si>
  <si>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</si>
  <si>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</si>
  <si>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</si>
  <si>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</si>
  <si>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</si>
  <si>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</si>
  <si>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</si>
  <si>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</si>
  <si>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</si>
  <si>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</si>
  <si>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</si>
  <si>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</si>
  <si>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</si>
  <si>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</si>
  <si>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</si>
  <si>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</si>
  <si>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</si>
  <si>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</si>
  <si>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</si>
  <si>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</si>
  <si>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</si>
  <si>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</si>
  <si>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</si>
  <si>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</si>
  <si>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</si>
  <si>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</si>
  <si>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</si>
  <si>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</si>
  <si>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</si>
  <si>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</si>
  <si>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</si>
  <si>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</si>
  <si>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</si>
  <si>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</si>
  <si>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</si>
  <si>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</si>
  <si>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</si>
  <si>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</si>
  <si>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</si>
  <si>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</si>
  <si>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</si>
  <si>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</si>
  <si>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</si>
  <si>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</si>
  <si>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</si>
  <si>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</si>
  <si>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</si>
  <si>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</si>
  <si>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</si>
  <si>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</si>
  <si>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</si>
  <si>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</si>
  <si>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</si>
  <si>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</si>
  <si>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</si>
  <si>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</si>
  <si>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</si>
  <si>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</si>
  <si>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</si>
  <si>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</si>
  <si>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</si>
  <si>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</si>
  <si>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</si>
  <si>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</si>
  <si>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</si>
  <si>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</si>
  <si>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</si>
  <si>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</si>
  <si>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</si>
  <si>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</si>
  <si>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</si>
  <si>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</si>
  <si>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</si>
  <si>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</si>
  <si>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</si>
  <si>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</si>
  <si>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</si>
  <si>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</si>
  <si>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</si>
  <si>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</si>
  <si>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</si>
  <si>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</si>
  <si>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</si>
  <si>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</si>
  <si>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</si>
  <si>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</si>
  <si>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</si>
  <si>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</si>
  <si>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</si>
  <si>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</si>
  <si>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</si>
  <si>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</si>
  <si>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</si>
  <si>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</si>
  <si>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</si>
  <si>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</si>
  <si>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</si>
  <si>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</si>
  <si>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</si>
  <si>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</si>
  <si>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</si>
  <si>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</si>
  <si>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</si>
  <si>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</si>
  <si>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</si>
  <si>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</si>
  <si>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</si>
  <si>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</si>
  <si>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</si>
  <si>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</si>
  <si>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</si>
  <si>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</si>
  <si>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</si>
  <si>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</si>
  <si>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</si>
  <si>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</si>
  <si>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</si>
  <si>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</si>
  <si>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</si>
  <si>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</si>
  <si>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</si>
  <si>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</si>
  <si>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</si>
  <si>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</si>
  <si>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</si>
  <si>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</si>
  <si>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</si>
  <si>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</si>
  <si>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</si>
  <si>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</si>
  <si>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</si>
  <si>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</si>
  <si>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</si>
  <si>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</si>
  <si>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</si>
  <si>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</si>
  <si>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</si>
  <si>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</si>
  <si>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</si>
  <si>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</si>
  <si>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</si>
  <si>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</si>
  <si>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</si>
  <si>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</si>
  <si>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</si>
  <si>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</si>
  <si>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</si>
  <si>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</si>
  <si>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</si>
  <si>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</si>
  <si>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</si>
  <si>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</si>
  <si>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</si>
  <si>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</si>
  <si>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</si>
  <si>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</si>
  <si>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</si>
  <si>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</si>
  <si>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</si>
  <si>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</si>
  <si>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</si>
  <si>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</si>
  <si>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</si>
  <si>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</si>
  <si>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</si>
  <si>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</si>
  <si>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</si>
  <si>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</si>
  <si>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</si>
  <si>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</si>
  <si>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</si>
  <si>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</si>
  <si>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</si>
  <si>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</si>
  <si>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</si>
  <si>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</si>
  <si>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</si>
  <si>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</si>
  <si>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</si>
  <si>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</si>
  <si>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</si>
  <si>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</si>
  <si>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</si>
  <si>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</si>
  <si>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</si>
  <si>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</si>
  <si>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</si>
  <si>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</si>
  <si>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</si>
  <si>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</si>
  <si>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</si>
  <si>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</si>
  <si>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</si>
  <si>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</si>
  <si>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</si>
  <si>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</si>
  <si>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</si>
  <si>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</si>
  <si>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</si>
  <si>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</si>
  <si>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</si>
  <si>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</si>
  <si>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</si>
  <si>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</si>
  <si>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</si>
  <si>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</si>
  <si>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</si>
  <si>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</si>
  <si>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</si>
  <si>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</si>
  <si>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</si>
  <si>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</si>
  <si>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</si>
  <si>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</si>
  <si>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</si>
  <si>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</si>
  <si>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</si>
  <si>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</si>
  <si>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</si>
  <si>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</si>
  <si>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</si>
  <si>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</si>
  <si>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</si>
  <si>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</si>
  <si>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</si>
  <si>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</si>
  <si>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</si>
  <si>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</si>
  <si>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</si>
  <si>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</si>
  <si>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</si>
  <si>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</si>
  <si>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</si>
  <si>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</si>
  <si>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</si>
  <si>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</si>
  <si>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</si>
  <si>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</si>
  <si>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</si>
  <si>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</si>
  <si>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</si>
  <si>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</si>
  <si>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</si>
  <si>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</si>
  <si>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</si>
  <si>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</si>
  <si>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</si>
  <si>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</si>
  <si>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</si>
  <si>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</si>
  <si>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</si>
  <si>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</si>
  <si>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</si>
  <si>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</si>
  <si>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</si>
  <si>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</si>
  <si>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</si>
  <si>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</si>
  <si>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</si>
  <si>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</si>
  <si>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</si>
  <si>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</si>
  <si>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</si>
  <si>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</si>
  <si>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</si>
  <si>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</si>
  <si>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</si>
  <si>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</si>
  <si>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</si>
  <si>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</si>
  <si>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</si>
  <si>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</si>
  <si>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</si>
  <si>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</si>
  <si>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</si>
  <si>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</si>
  <si>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</si>
  <si>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</si>
  <si>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</si>
  <si>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</si>
  <si>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</si>
  <si>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</si>
  <si>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</si>
  <si>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</si>
  <si>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</si>
  <si>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</si>
  <si>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</si>
  <si>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</si>
  <si>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</si>
  <si>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</si>
  <si>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</si>
  <si>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</si>
  <si>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</si>
  <si>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</si>
  <si>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</si>
  <si>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</si>
  <si>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</si>
  <si>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</si>
  <si>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</si>
  <si>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</si>
  <si>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</si>
  <si>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</si>
  <si>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</si>
  <si>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</si>
  <si>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</si>
  <si>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</si>
  <si>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</si>
  <si>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</si>
  <si>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</si>
  <si>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</si>
  <si>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</si>
  <si>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</si>
  <si>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</si>
  <si>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</si>
  <si>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</si>
  <si>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</si>
  <si>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</si>
  <si>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</si>
  <si>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</si>
  <si>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</si>
  <si>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</si>
  <si>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</si>
  <si>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</si>
  <si>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</si>
  <si>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</si>
  <si>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</si>
  <si>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</si>
  <si>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</si>
  <si>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</si>
  <si>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</si>
  <si>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</si>
  <si>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</si>
  <si>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</si>
  <si>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</si>
  <si>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</si>
  <si>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</si>
  <si>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</si>
  <si>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</si>
  <si>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</si>
  <si>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</si>
  <si>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</si>
  <si>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</si>
  <si>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</si>
  <si>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</si>
  <si>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</si>
  <si>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</si>
  <si>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</si>
  <si>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</si>
  <si>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</si>
  <si>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</si>
  <si>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</si>
  <si>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</si>
  <si>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</si>
  <si>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</si>
  <si>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</si>
  <si>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</si>
  <si>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</si>
  <si>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</si>
  <si>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</si>
  <si>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</si>
  <si>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</si>
  <si>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</si>
  <si>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</si>
  <si>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</si>
  <si>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</si>
  <si>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</si>
  <si>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</si>
  <si>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</si>
  <si>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</si>
  <si>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</si>
  <si>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</si>
  <si>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</si>
  <si>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</si>
  <si>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</si>
  <si>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</si>
  <si>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</si>
  <si>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</si>
  <si>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</si>
  <si>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</si>
  <si>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</si>
  <si>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</si>
  <si>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</si>
  <si>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</si>
  <si>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</si>
  <si>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</si>
  <si>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</si>
  <si>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</si>
  <si>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</si>
  <si>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</si>
  <si>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</si>
  <si>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</si>
  <si>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</si>
  <si>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</si>
  <si>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</si>
  <si>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</si>
  <si>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</si>
  <si>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</si>
  <si>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</si>
  <si>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</si>
  <si>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</si>
  <si>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</si>
  <si>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</si>
  <si>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</si>
  <si>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</si>
  <si>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</si>
  <si>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</si>
  <si>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</si>
  <si>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</si>
  <si>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</si>
  <si>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</si>
  <si>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</si>
  <si>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</si>
  <si>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</si>
  <si>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</si>
  <si>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</si>
  <si>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</si>
  <si>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</si>
  <si>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</si>
  <si>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</si>
  <si>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</si>
  <si>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</si>
  <si>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</si>
  <si>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</si>
  <si>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</si>
  <si>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</si>
  <si>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</si>
  <si>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</si>
  <si>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</si>
  <si>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</si>
  <si>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</si>
  <si>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</si>
  <si>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</si>
  <si>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</si>
  <si>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</si>
  <si>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</si>
  <si>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</si>
  <si>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</si>
  <si>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</si>
  <si>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</si>
  <si>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</si>
  <si>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</si>
  <si>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</si>
  <si>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</si>
  <si>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</si>
  <si>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</si>
  <si>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</si>
  <si>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</si>
  <si>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</si>
  <si>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</si>
  <si>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</si>
  <si>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</si>
  <si>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</si>
  <si>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</si>
  <si>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</si>
  <si>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</si>
  <si>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</si>
  <si>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</si>
  <si>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</si>
  <si>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</si>
  <si>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</si>
  <si>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</si>
  <si>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</si>
  <si>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</si>
  <si>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</si>
  <si>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</si>
  <si>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</si>
  <si>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</si>
  <si>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</si>
  <si>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</si>
  <si>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</si>
  <si>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</si>
  <si>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</si>
  <si>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</si>
  <si>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</si>
  <si>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</si>
  <si>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</si>
  <si>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</si>
  <si>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</si>
  <si>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</si>
  <si>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</si>
  <si>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</si>
  <si>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</si>
  <si>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</si>
  <si>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</si>
  <si>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</si>
  <si>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</si>
  <si>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</si>
  <si>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</si>
  <si>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</si>
  <si>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</si>
  <si>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</si>
  <si>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</si>
  <si>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</si>
  <si>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</si>
  <si>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</si>
  <si>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</si>
  <si>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</si>
  <si>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</si>
  <si>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</si>
  <si>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</si>
  <si>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</si>
  <si>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</si>
  <si>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</si>
  <si>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</si>
  <si>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</si>
  <si>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</si>
  <si>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</si>
  <si>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</si>
  <si>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</si>
  <si>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</si>
  <si>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</si>
  <si>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</si>
  <si>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</si>
  <si>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</si>
  <si>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</si>
  <si>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</si>
  <si>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</si>
  <si>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</si>
  <si>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</si>
  <si>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</si>
  <si>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</si>
  <si>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</si>
  <si>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</si>
  <si>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</si>
  <si>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</si>
  <si>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</si>
  <si>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</si>
  <si>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</si>
  <si>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</si>
  <si>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</si>
  <si>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</si>
  <si>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</si>
  <si>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</si>
  <si>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</si>
  <si>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</si>
  <si>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</si>
  <si>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</si>
  <si>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</si>
  <si>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</si>
  <si>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</si>
  <si>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</si>
  <si>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</si>
  <si>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</si>
  <si>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</si>
  <si>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</si>
  <si>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</si>
  <si>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</si>
  <si>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</si>
  <si>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</si>
  <si>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</si>
  <si>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</si>
  <si>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</si>
  <si>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</si>
  <si>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</si>
  <si>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</si>
  <si>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</si>
  <si>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</si>
  <si>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</si>
  <si>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</si>
  <si>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</si>
  <si>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</si>
  <si>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</si>
  <si>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</si>
  <si>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</si>
  <si>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</si>
  <si>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</si>
  <si>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</si>
  <si>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</si>
  <si>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</si>
  <si>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</si>
  <si>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</si>
  <si>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</si>
  <si>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</si>
  <si>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</si>
  <si>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</si>
  <si>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</si>
  <si>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</si>
  <si>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</si>
  <si>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</si>
  <si>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</si>
  <si>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</si>
  <si>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</si>
  <si>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</si>
  <si>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</si>
  <si>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</si>
  <si>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</si>
  <si>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</si>
  <si>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</si>
  <si>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</si>
  <si>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</si>
  <si>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</si>
  <si>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</si>
  <si>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</si>
  <si>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</si>
  <si>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</si>
  <si>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</si>
  <si>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</si>
  <si>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</si>
  <si>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</si>
  <si>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</si>
  <si>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</si>
  <si>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</si>
  <si>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</si>
  <si>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</si>
  <si>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</si>
  <si>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</si>
  <si>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</si>
  <si>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</si>
  <si>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</si>
  <si>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</si>
  <si>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</si>
  <si>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</si>
  <si>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</si>
  <si>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</si>
  <si>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</si>
  <si>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</si>
  <si>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</si>
  <si>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</si>
  <si>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</si>
  <si>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</si>
  <si>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</si>
  <si>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</si>
  <si>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</si>
  <si>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</si>
  <si>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</si>
  <si>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</si>
  <si>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</si>
  <si>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</si>
  <si>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</si>
  <si>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</si>
  <si>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</si>
  <si>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</si>
  <si>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</si>
  <si>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</si>
  <si>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</si>
  <si>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</si>
  <si>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</si>
  <si>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</si>
  <si>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</si>
  <si>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</si>
  <si>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</si>
  <si>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</si>
  <si>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</si>
  <si>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</si>
  <si>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</si>
  <si>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</si>
  <si>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</si>
  <si>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</si>
  <si>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</si>
  <si>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</si>
  <si>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</si>
  <si>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</si>
  <si>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</si>
  <si>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</si>
  <si>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</si>
  <si>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</si>
  <si>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</si>
  <si>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</si>
  <si>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</si>
  <si>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</si>
  <si>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</si>
  <si>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</si>
  <si>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</si>
  <si>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</si>
  <si>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</si>
  <si>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</si>
  <si>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</si>
  <si>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</si>
  <si>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</si>
  <si>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</si>
  <si>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</si>
  <si>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</si>
  <si>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</si>
  <si>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</si>
  <si>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</si>
  <si>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</si>
  <si>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</si>
  <si>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</si>
  <si>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</si>
  <si>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</si>
  <si>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</si>
  <si>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</si>
  <si>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</si>
  <si>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</si>
  <si>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</si>
  <si>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</si>
  <si>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</si>
  <si>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</si>
  <si>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</si>
  <si>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</si>
  <si>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</si>
  <si>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</si>
  <si>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</si>
  <si>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</si>
  <si>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</si>
  <si>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</si>
  <si>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</si>
  <si>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</si>
  <si>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</si>
  <si>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</si>
  <si>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</si>
  <si>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</si>
  <si>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</si>
  <si>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</si>
  <si>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</si>
  <si>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</si>
  <si>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</si>
  <si>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</si>
  <si>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</si>
  <si>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</si>
  <si>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</si>
  <si>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</si>
  <si>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</si>
  <si>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</si>
  <si>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</si>
  <si>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</si>
  <si>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</si>
  <si>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</si>
  <si>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</si>
  <si>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</si>
  <si>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</si>
  <si>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</si>
  <si>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</si>
  <si>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</si>
  <si>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</si>
  <si>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</si>
  <si>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</si>
  <si>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</si>
  <si>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</si>
  <si>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</si>
  <si>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</si>
  <si>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</si>
  <si>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</si>
  <si>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</si>
  <si>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</si>
  <si>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</si>
  <si>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</si>
  <si>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</si>
  <si>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</si>
  <si>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</si>
  <si>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</si>
  <si>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</si>
  <si>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</si>
  <si>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</si>
  <si>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</si>
  <si>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</si>
  <si>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</si>
  <si>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</si>
  <si>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</si>
  <si>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</si>
  <si>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</si>
  <si>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</si>
  <si>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</si>
  <si>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</si>
  <si>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</si>
  <si>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</si>
  <si>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</si>
  <si>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</si>
  <si>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</si>
  <si>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</si>
  <si>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</si>
  <si>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</si>
  <si>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</si>
  <si>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</si>
  <si>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</si>
  <si>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</si>
  <si>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</si>
  <si>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</si>
  <si>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</si>
  <si>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</si>
  <si>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</si>
  <si>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</si>
  <si>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</si>
  <si>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</si>
  <si>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</si>
  <si>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</si>
  <si>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</si>
  <si>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</si>
  <si>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</si>
  <si>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</si>
  <si>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</si>
  <si>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</si>
  <si>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</si>
  <si>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</si>
  <si>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</si>
  <si>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</si>
  <si>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</si>
  <si>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</si>
  <si>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</si>
  <si>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</si>
  <si>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</si>
  <si>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</si>
  <si>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</si>
  <si>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</si>
  <si>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</si>
  <si>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</si>
  <si>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</si>
  <si>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</si>
  <si>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</si>
  <si>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</si>
  <si>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</si>
  <si>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</si>
  <si>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</si>
  <si>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</si>
  <si>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</si>
  <si>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</si>
  <si>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</si>
  <si>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</si>
  <si>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</si>
  <si>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</si>
  <si>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</si>
  <si>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</si>
  <si>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</si>
  <si>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</si>
  <si>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</si>
  <si>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</si>
  <si>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</si>
  <si>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</si>
  <si>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</si>
  <si>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</si>
  <si>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</si>
  <si>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</si>
  <si>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</si>
  <si>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</si>
  <si>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</si>
  <si>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</si>
  <si>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</si>
  <si>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</si>
  <si>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</si>
  <si>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</si>
  <si>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</si>
  <si>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</si>
  <si>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</si>
  <si>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</si>
  <si>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</si>
  <si>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</si>
  <si>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</si>
  <si>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</si>
  <si>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</si>
  <si>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</si>
  <si>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</si>
  <si>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</si>
  <si>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</si>
  <si>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</si>
  <si>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</si>
  <si>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</si>
  <si>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</si>
  <si>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</si>
  <si>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</si>
  <si>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</si>
  <si>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</si>
  <si>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</si>
  <si>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</si>
  <si>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</si>
  <si>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</si>
  <si>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</si>
  <si>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</si>
  <si>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</si>
  <si>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</si>
  <si>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</si>
  <si>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</si>
  <si>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</si>
  <si>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</si>
  <si>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</si>
  <si>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</si>
  <si>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</si>
  <si>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</si>
  <si>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</si>
  <si>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</si>
  <si>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</si>
  <si>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</si>
  <si>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</si>
  <si>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</si>
  <si>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</si>
  <si>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</si>
  <si>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</si>
  <si>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</si>
  <si>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</si>
  <si>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</si>
  <si>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</si>
  <si>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</si>
  <si>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</si>
  <si>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</si>
  <si>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</si>
  <si>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</si>
  <si>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</si>
  <si>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</si>
  <si>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</si>
  <si>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</si>
  <si>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</si>
  <si>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</si>
  <si>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</si>
  <si>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</si>
  <si>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</si>
  <si>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</si>
  <si>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</si>
  <si>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</si>
  <si>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</si>
  <si>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</si>
  <si>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</si>
  <si>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</si>
  <si>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</si>
  <si>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</si>
  <si>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</si>
  <si>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</si>
  <si>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</si>
  <si>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</si>
  <si>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</si>
  <si>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</si>
  <si>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</si>
  <si>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</si>
  <si>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</si>
  <si>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</si>
  <si>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</si>
  <si>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</si>
  <si>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</si>
  <si>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</si>
  <si>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</si>
  <si>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</si>
  <si>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</si>
  <si>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</si>
  <si>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</si>
  <si>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</si>
  <si>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</si>
  <si>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</si>
  <si>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</si>
  <si>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</si>
  <si>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</si>
  <si>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</si>
  <si>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</si>
  <si>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</si>
  <si>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</si>
  <si>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</si>
  <si>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</si>
  <si>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</si>
  <si>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</si>
  <si>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</si>
  <si>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</si>
  <si>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</si>
  <si>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</si>
  <si>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</si>
  <si>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</si>
  <si>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</si>
  <si>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</si>
  <si>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</si>
  <si>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</si>
  <si>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</si>
  <si>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</si>
  <si>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</si>
  <si>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</si>
  <si>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</si>
  <si>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</si>
  <si>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</si>
  <si>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</si>
  <si>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</si>
  <si>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</si>
  <si>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</si>
  <si>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</si>
  <si>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</si>
  <si>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</si>
  <si>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</si>
  <si>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</si>
  <si>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</si>
  <si>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</si>
  <si>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</si>
  <si>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</si>
  <si>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</si>
  <si>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</si>
  <si>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</si>
  <si>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</si>
  <si>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</si>
  <si>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</si>
  <si>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</si>
  <si>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</si>
  <si>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</si>
  <si>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</si>
  <si>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</si>
  <si>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</si>
  <si>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</si>
  <si>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</si>
  <si>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</si>
  <si>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</si>
  <si>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</si>
  <si>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</si>
  <si>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</si>
  <si>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</si>
  <si>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</si>
  <si>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</si>
  <si>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</si>
  <si>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</si>
  <si>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</si>
  <si>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</si>
  <si>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</si>
  <si>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</si>
  <si>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</si>
  <si>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</si>
  <si>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</si>
  <si>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</si>
  <si>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</si>
  <si>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</si>
  <si>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</si>
  <si>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</si>
  <si>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</si>
  <si>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</si>
  <si>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</si>
  <si>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</si>
  <si>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</si>
  <si>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</si>
  <si>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</si>
  <si>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</si>
  <si>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</si>
  <si>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</si>
  <si>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</si>
  <si>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</si>
  <si>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</si>
  <si>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</si>
  <si>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</si>
  <si>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</si>
  <si>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</si>
  <si>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</si>
  <si>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</si>
  <si>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</si>
  <si>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</si>
  <si>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</si>
  <si>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</si>
  <si>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</si>
  <si>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</si>
  <si>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</si>
  <si>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</si>
  <si>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</si>
  <si>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</si>
  <si>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</si>
  <si>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</si>
  <si>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</si>
  <si>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</si>
  <si>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</si>
  <si>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</si>
  <si>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</si>
  <si>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</si>
  <si>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</si>
  <si>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</si>
  <si>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</si>
  <si>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</si>
  <si>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</si>
  <si>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</si>
  <si>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</si>
  <si>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</si>
  <si>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</si>
  <si>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</si>
  <si>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</si>
  <si>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</si>
  <si>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</si>
  <si>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</si>
  <si>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</si>
  <si>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</si>
  <si>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</si>
  <si>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</si>
  <si>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</si>
  <si>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</si>
  <si>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</si>
  <si>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</si>
  <si>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</si>
  <si>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</si>
  <si>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</si>
  <si>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</si>
  <si>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</si>
  <si>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</si>
  <si>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</si>
  <si>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</si>
  <si>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</si>
  <si>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</si>
  <si>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</si>
  <si>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</si>
  <si>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</si>
  <si>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</si>
  <si>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</si>
  <si>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</si>
  <si>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</si>
  <si>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</si>
  <si>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</si>
  <si>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</si>
  <si>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</si>
  <si>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</si>
  <si>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</si>
  <si>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</si>
  <si>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</si>
  <si>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</si>
  <si>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</si>
  <si>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</si>
  <si>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</si>
  <si>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</si>
  <si>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</si>
  <si>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</si>
  <si>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</si>
  <si>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</si>
  <si>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</si>
  <si>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</si>
  <si>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</si>
  <si>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</si>
  <si>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</si>
  <si>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</si>
  <si>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</si>
  <si>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</si>
  <si>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</si>
  <si>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</si>
  <si>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</si>
  <si>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</si>
  <si>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</si>
  <si>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</si>
  <si>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</si>
  <si>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</si>
  <si>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</si>
  <si>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</si>
  <si>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</si>
  <si>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</si>
  <si>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</si>
  <si>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</si>
  <si>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</si>
  <si>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</si>
  <si>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</si>
  <si>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</si>
  <si>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</si>
  <si>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</si>
  <si>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</si>
  <si>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</si>
  <si>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</si>
  <si>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</si>
  <si>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</si>
  <si>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</si>
  <si>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</si>
  <si>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</si>
  <si>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</si>
  <si>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</si>
  <si>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</si>
  <si>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</si>
  <si>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</si>
  <si>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</si>
  <si>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</si>
  <si>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</si>
  <si>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</si>
  <si>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</si>
  <si>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</si>
  <si>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</si>
  <si>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</si>
  <si>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</si>
  <si>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</si>
  <si>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</si>
  <si>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</si>
  <si>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</si>
  <si>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</si>
  <si>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</si>
  <si>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</si>
  <si>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</si>
  <si>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</si>
  <si>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</si>
  <si>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</si>
  <si>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</si>
  <si>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</si>
  <si>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</si>
  <si>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</si>
  <si>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</si>
  <si>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</si>
  <si>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</si>
  <si>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</si>
  <si>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</si>
  <si>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</si>
  <si>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</si>
  <si>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</si>
  <si>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</si>
  <si>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</si>
  <si>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</si>
  <si>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</si>
  <si>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</si>
  <si>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</si>
  <si>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</si>
  <si>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</si>
  <si>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</si>
  <si>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</si>
  <si>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</si>
  <si>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</si>
  <si>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</si>
  <si>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</si>
  <si>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</si>
  <si>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</si>
  <si>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</si>
  <si>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</si>
  <si>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</si>
  <si>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</si>
  <si>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</si>
  <si>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</si>
  <si>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</si>
  <si>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</si>
  <si>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</si>
  <si>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</si>
  <si>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</si>
  <si>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</si>
  <si>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</si>
  <si>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</si>
  <si>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</si>
  <si>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</si>
  <si>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</si>
  <si>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</si>
  <si>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</si>
  <si>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</si>
  <si>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</si>
  <si>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</si>
  <si>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</si>
  <si>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</si>
  <si>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</si>
  <si>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</si>
  <si>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</si>
  <si>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</si>
  <si>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</si>
  <si>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</si>
  <si>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</si>
  <si>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</si>
  <si>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</si>
  <si>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</si>
  <si>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</si>
  <si>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</si>
  <si>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</si>
  <si>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</si>
  <si>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</si>
  <si>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</si>
  <si>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</si>
  <si>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</si>
  <si>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</si>
  <si>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</si>
  <si>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</si>
  <si>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</si>
  <si>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</si>
  <si>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</si>
  <si>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</si>
  <si>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</si>
  <si>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</si>
  <si>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</si>
  <si>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</si>
  <si>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</si>
  <si>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</si>
  <si>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</si>
  <si>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</si>
  <si>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</si>
  <si>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</si>
  <si>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</si>
  <si>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</si>
  <si>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</si>
  <si>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</si>
  <si>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</si>
  <si>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</si>
  <si>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</si>
  <si>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</si>
  <si>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</si>
  <si>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</si>
  <si>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</si>
  <si>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</si>
  <si>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</si>
  <si>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</si>
  <si>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</si>
  <si>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</si>
  <si>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</si>
  <si>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</si>
  <si>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</si>
  <si>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</si>
  <si>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</si>
  <si>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</si>
  <si>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</si>
  <si>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</si>
  <si>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</si>
  <si>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</si>
  <si>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</si>
  <si>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</si>
  <si>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</si>
  <si>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</si>
  <si>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</si>
  <si>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</si>
  <si>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</si>
  <si>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</si>
  <si>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</si>
  <si>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</si>
  <si>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</si>
  <si>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</si>
  <si>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</si>
  <si>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</si>
  <si>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</si>
  <si>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</si>
  <si>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</si>
  <si>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</si>
  <si>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</si>
  <si>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</si>
  <si>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</si>
  <si>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</si>
  <si>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</si>
  <si>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</si>
  <si>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</si>
  <si>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</si>
  <si>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</si>
  <si>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</si>
  <si>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</si>
  <si>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</si>
  <si>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</si>
  <si>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</si>
  <si>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</si>
  <si>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</si>
  <si>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</si>
  <si>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</si>
  <si>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</si>
  <si>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</si>
  <si>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</si>
  <si>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</si>
  <si>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</si>
  <si>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</si>
  <si>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</si>
  <si>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</si>
  <si>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</si>
  <si>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</si>
  <si>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</si>
  <si>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</si>
  <si>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</si>
  <si>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</si>
  <si>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</si>
  <si>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</si>
  <si>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</si>
  <si>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</si>
  <si>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</si>
  <si>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</si>
  <si>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</si>
  <si>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</si>
  <si>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</si>
  <si>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</si>
  <si>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</si>
  <si>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</si>
  <si>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</si>
  <si>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</si>
  <si>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</si>
  <si>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</si>
  <si>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</si>
  <si>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</si>
  <si>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</si>
  <si>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</si>
  <si>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</si>
  <si>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</si>
  <si>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</si>
  <si>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</si>
  <si>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</si>
  <si>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</si>
  <si>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</si>
  <si>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</si>
  <si>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</si>
  <si>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</si>
  <si>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</si>
  <si>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</si>
  <si>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</si>
  <si>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</si>
  <si>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</si>
  <si>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</si>
  <si>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</si>
  <si>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</si>
  <si>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</si>
  <si>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</si>
  <si>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</si>
  <si>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</si>
  <si>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</si>
  <si>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</si>
  <si>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</si>
  <si>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</si>
  <si>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</si>
  <si>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</si>
  <si>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</si>
  <si>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</si>
  <si>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</si>
  <si>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</si>
  <si>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</si>
  <si>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</si>
  <si>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</si>
  <si>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</si>
  <si>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</si>
  <si>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</si>
  <si>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</si>
  <si>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</si>
  <si>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</si>
  <si>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</si>
  <si>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</si>
  <si>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</si>
  <si>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</si>
  <si>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</si>
  <si>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</si>
  <si>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</si>
  <si>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</si>
  <si>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</si>
  <si>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</si>
  <si>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</si>
  <si>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</si>
  <si>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</si>
  <si>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</si>
  <si>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</si>
  <si>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</si>
  <si>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</si>
  <si>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</si>
  <si>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</si>
  <si>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</si>
  <si>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</si>
  <si>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</si>
  <si>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</si>
  <si>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</si>
  <si>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</si>
  <si>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</si>
  <si>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</si>
  <si>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</si>
  <si>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</si>
  <si>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</si>
  <si>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</si>
  <si>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</si>
  <si>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</si>
  <si>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</si>
  <si>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</si>
  <si>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</si>
  <si>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</si>
  <si>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</si>
  <si>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</si>
  <si>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</si>
  <si>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</si>
  <si>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</si>
  <si>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</si>
  <si>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</si>
  <si>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</si>
  <si>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</si>
  <si>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</si>
  <si>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</si>
  <si>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</si>
  <si>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</si>
  <si>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</si>
  <si>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</si>
  <si>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</si>
  <si>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</si>
  <si>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</si>
  <si>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</si>
  <si>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</si>
  <si>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</si>
  <si>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</si>
  <si>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</si>
  <si>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</si>
  <si>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</si>
  <si>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</si>
  <si>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</si>
  <si>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</si>
  <si>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</si>
  <si>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</si>
  <si>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</si>
  <si>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</si>
  <si>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</si>
  <si>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</si>
  <si>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</si>
  <si>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</si>
  <si>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</si>
  <si>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</si>
  <si>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</si>
  <si>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</si>
  <si>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</si>
  <si>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</si>
  <si>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</si>
  <si>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</si>
  <si>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</si>
  <si>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</si>
  <si>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</si>
  <si>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</si>
  <si>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</si>
  <si>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</si>
  <si>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</si>
  <si>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</si>
  <si>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</si>
  <si>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</si>
  <si>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</si>
  <si>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</si>
  <si>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</si>
  <si>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</si>
  <si>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</si>
  <si>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</si>
  <si>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</si>
  <si>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</si>
  <si>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</si>
  <si>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</si>
  <si>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</si>
  <si>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</si>
  <si>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</si>
  <si>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</si>
  <si>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</si>
  <si>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</si>
  <si>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</si>
  <si>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</si>
  <si>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</si>
  <si>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</si>
  <si>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</si>
  <si>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</si>
  <si>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</si>
  <si>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</si>
  <si>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</si>
  <si>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</si>
  <si>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</si>
  <si>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</si>
  <si>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</si>
  <si>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</si>
  <si>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</si>
  <si>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</si>
  <si>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</si>
  <si>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</si>
  <si>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</si>
  <si>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</si>
  <si>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</si>
  <si>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</si>
  <si>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</si>
  <si>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</si>
  <si>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</si>
  <si>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</si>
  <si>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</si>
  <si>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</si>
  <si>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</si>
  <si>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</si>
  <si>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</si>
  <si>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</si>
  <si>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</si>
  <si>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</si>
  <si>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</si>
  <si>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</si>
  <si>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</si>
  <si>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</si>
  <si>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</si>
  <si>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</si>
  <si>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</si>
  <si>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</si>
  <si>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</si>
  <si>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</si>
  <si>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</si>
  <si>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</si>
  <si>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</si>
  <si>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</si>
  <si>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</si>
  <si>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</si>
  <si>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</si>
  <si>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</si>
  <si>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</si>
  <si>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</si>
  <si>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</si>
  <si>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</si>
  <si>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</si>
  <si>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</si>
  <si>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</si>
  <si>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</si>
  <si>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</si>
  <si>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</si>
  <si>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</si>
  <si>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</si>
  <si>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</si>
  <si>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</si>
  <si>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</si>
  <si>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</si>
  <si>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</si>
  <si>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</si>
  <si>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</si>
  <si>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</si>
  <si>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</si>
  <si>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</si>
  <si>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</si>
  <si>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</si>
  <si>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</si>
  <si>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</si>
  <si>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</si>
  <si>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</si>
  <si>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</si>
  <si>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</si>
  <si>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</si>
  <si>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</si>
  <si>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</si>
  <si>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</si>
  <si>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</si>
  <si>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</si>
  <si>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</si>
  <si>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</si>
  <si>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</si>
  <si>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</si>
  <si>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</si>
  <si>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</si>
  <si>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</si>
  <si>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</si>
  <si>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</si>
  <si>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</si>
  <si>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</si>
  <si>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</si>
  <si>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</si>
  <si>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</si>
  <si>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</si>
  <si>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</si>
  <si>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</si>
  <si>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</si>
  <si>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</si>
  <si>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</si>
  <si>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</si>
  <si>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</si>
  <si>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</si>
  <si>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</si>
  <si>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</si>
  <si>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</si>
  <si>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</si>
  <si>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</si>
  <si>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</si>
  <si>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</si>
  <si>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</si>
  <si>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</si>
  <si>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</si>
  <si>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</si>
  <si>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</si>
  <si>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</si>
  <si>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</si>
  <si>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</si>
  <si>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</si>
  <si>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</si>
  <si>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</si>
  <si>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</si>
  <si>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</si>
  <si>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</si>
  <si>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</si>
  <si>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</si>
  <si>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</si>
  <si>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</si>
  <si>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</si>
  <si>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</si>
  <si>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</si>
  <si>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</si>
  <si>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</si>
  <si>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</si>
  <si>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</si>
  <si>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</si>
  <si>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</si>
  <si>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</si>
  <si>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</si>
  <si>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</si>
  <si>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</si>
  <si>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</si>
  <si>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</si>
  <si>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</si>
  <si>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</si>
  <si>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</si>
  <si>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</si>
  <si>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</si>
  <si>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</si>
  <si>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</si>
  <si>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</si>
  <si>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</si>
  <si>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</si>
  <si>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</si>
  <si>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</si>
  <si>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</si>
  <si>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</si>
  <si>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</si>
  <si>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</si>
  <si>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</si>
  <si>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</si>
  <si>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</si>
  <si>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</si>
  <si>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</si>
  <si>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</si>
  <si>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</si>
  <si>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</si>
  <si>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</si>
  <si>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</si>
  <si>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</si>
  <si>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</si>
  <si>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</si>
  <si>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</si>
  <si>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</si>
  <si>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</si>
  <si>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</si>
  <si>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</si>
  <si>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</si>
  <si>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</si>
  <si>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</si>
  <si>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</si>
  <si>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</si>
  <si>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</si>
  <si>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</si>
  <si>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</si>
  <si>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</si>
  <si>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</si>
  <si>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</si>
  <si>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</si>
  <si>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</si>
  <si>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</si>
  <si>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</si>
  <si>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</si>
  <si>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</si>
  <si>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</si>
  <si>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</si>
  <si>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</si>
  <si>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</si>
  <si>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</si>
  <si>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</si>
  <si>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</si>
  <si>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</si>
  <si>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</si>
  <si>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</si>
  <si>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</si>
  <si>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</si>
  <si>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</si>
  <si>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</si>
  <si>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</si>
  <si>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</si>
  <si>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</si>
  <si>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</si>
  <si>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</si>
  <si>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</si>
  <si>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</si>
  <si>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</si>
  <si>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</si>
  <si>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</si>
  <si>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</si>
  <si>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</si>
  <si>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</si>
  <si>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</si>
  <si>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</si>
  <si>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</si>
  <si>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</si>
  <si>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</si>
  <si>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</si>
  <si>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</si>
  <si>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</si>
  <si>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</si>
  <si>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</si>
  <si>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</si>
  <si>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</si>
  <si>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</si>
  <si>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</si>
  <si>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</si>
  <si>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</si>
  <si>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</si>
  <si>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</si>
  <si>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</si>
  <si>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</si>
  <si>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</si>
  <si>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</si>
  <si>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</si>
  <si>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</si>
  <si>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</si>
  <si>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</si>
  <si>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</si>
  <si>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</si>
  <si>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</si>
  <si>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</si>
  <si>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</si>
  <si>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</si>
  <si>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</si>
  <si>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</si>
  <si>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</si>
  <si>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</si>
  <si>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</si>
  <si>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</si>
  <si>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</si>
  <si>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</si>
  <si>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</si>
  <si>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</si>
  <si>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</si>
  <si>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</si>
  <si>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</si>
  <si>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</si>
  <si>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</si>
  <si>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</si>
  <si>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</si>
  <si>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</si>
  <si>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</si>
  <si>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</si>
  <si>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</si>
  <si>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</si>
  <si>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</si>
  <si>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</si>
  <si>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</si>
  <si>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</si>
  <si>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</si>
  <si>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</si>
  <si>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</si>
  <si>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</si>
  <si>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</si>
  <si>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</si>
  <si>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</si>
  <si>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</si>
  <si>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</si>
  <si>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</si>
  <si>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</si>
  <si>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</si>
  <si>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</si>
  <si>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</si>
  <si>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</si>
  <si>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</si>
  <si>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</si>
  <si>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</si>
  <si>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</si>
  <si>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</si>
  <si>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</si>
  <si>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</si>
  <si>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</si>
  <si>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</si>
  <si>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</si>
  <si>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</si>
  <si>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</si>
  <si>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</si>
  <si>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</si>
  <si>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</si>
  <si>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</si>
  <si>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</si>
  <si>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</si>
  <si>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</si>
  <si>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</si>
  <si>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</si>
  <si>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</si>
  <si>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</si>
  <si>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</si>
  <si>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</si>
  <si>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</si>
  <si>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</si>
  <si>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</si>
  <si>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</si>
  <si>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</si>
  <si>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</si>
  <si>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</si>
  <si>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</si>
  <si>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</si>
  <si>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</si>
  <si>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</si>
  <si>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</si>
  <si>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</si>
  <si>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</si>
  <si>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</si>
  <si>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</si>
  <si>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</si>
  <si>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</si>
  <si>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</si>
  <si>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</si>
  <si>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</si>
  <si>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</si>
  <si>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</si>
  <si>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</si>
  <si>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</si>
  <si>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</si>
  <si>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</si>
  <si>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</si>
  <si>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</si>
  <si>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</si>
  <si>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</si>
  <si>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</si>
  <si>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</si>
  <si>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</si>
  <si>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</si>
  <si>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</si>
  <si>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</si>
  <si>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</si>
  <si>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</si>
  <si>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</si>
  <si>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</si>
  <si>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</si>
  <si>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</si>
  <si>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</si>
  <si>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</si>
  <si>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</si>
  <si>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</si>
  <si>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</si>
  <si>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</si>
  <si>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</si>
  <si>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</si>
  <si>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</si>
  <si>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</si>
  <si>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</si>
  <si>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</si>
  <si>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</si>
  <si>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</si>
  <si>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</si>
  <si>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</si>
  <si>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</si>
  <si>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</si>
  <si>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</si>
  <si>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</si>
  <si>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</si>
  <si>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</si>
  <si>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</si>
  <si>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</si>
  <si>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</si>
  <si>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</si>
  <si>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</si>
  <si>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</si>
  <si>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</si>
  <si>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</si>
  <si>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</si>
  <si>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</si>
  <si>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</si>
  <si>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</si>
  <si>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</si>
  <si>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</si>
  <si>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</si>
  <si>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</si>
  <si>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</si>
  <si>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</si>
  <si>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</si>
  <si>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</si>
  <si>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</si>
  <si>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</si>
  <si>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</si>
  <si>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</si>
  <si>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</si>
  <si>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</si>
  <si>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</si>
  <si>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</si>
  <si>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</si>
  <si>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</si>
  <si>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</si>
  <si>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</si>
  <si>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</si>
  <si>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</si>
  <si>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</si>
  <si>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</si>
  <si>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</si>
  <si>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</si>
  <si>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</si>
  <si>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</si>
  <si>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</si>
  <si>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</si>
  <si>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</si>
  <si>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</si>
  <si>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</si>
  <si>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</si>
  <si>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</si>
  <si>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</si>
  <si>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</si>
  <si>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</si>
  <si>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</si>
  <si>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</si>
  <si>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</si>
  <si>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</si>
  <si>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</si>
  <si>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</si>
  <si>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</si>
  <si>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</si>
  <si>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</si>
  <si>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</si>
  <si>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</si>
  <si>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</si>
  <si>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</si>
  <si>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</si>
  <si>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</si>
  <si>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</si>
  <si>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</si>
  <si>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</si>
  <si>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</si>
  <si>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</si>
  <si>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</si>
  <si>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</si>
  <si>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</si>
  <si>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</si>
  <si>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</si>
  <si>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</si>
  <si>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</si>
  <si>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</si>
  <si>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</si>
  <si>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</si>
  <si>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</si>
  <si>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</si>
  <si>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</si>
  <si>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</si>
  <si>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</si>
  <si>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</si>
  <si>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</si>
  <si>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</si>
  <si>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</si>
  <si>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</si>
  <si>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</si>
  <si>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</si>
  <si>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</si>
  <si>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</si>
  <si>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</si>
  <si>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</si>
  <si>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</si>
  <si>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</si>
  <si>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</si>
  <si>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</si>
  <si>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</si>
  <si>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</si>
  <si>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</si>
  <si>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</si>
  <si>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</si>
  <si>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</si>
  <si>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</si>
  <si>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</si>
  <si>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</si>
  <si>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</si>
  <si>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</si>
  <si>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</si>
  <si>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</si>
  <si>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</si>
  <si>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</si>
  <si>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</si>
  <si>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</si>
  <si>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</si>
  <si>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</si>
  <si>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</si>
  <si>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</si>
  <si>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</si>
  <si>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</si>
  <si>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</si>
  <si>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</si>
  <si>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</si>
  <si>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</si>
  <si>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</si>
  <si>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</si>
  <si>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</si>
  <si>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</si>
  <si>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</si>
  <si>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</si>
  <si>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</si>
  <si>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</si>
  <si>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</si>
  <si>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</si>
  <si>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</si>
  <si>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</si>
  <si>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</si>
  <si>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</si>
  <si>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</si>
  <si>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</si>
  <si>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</si>
  <si>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</si>
  <si>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</si>
  <si>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</si>
  <si>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</si>
  <si>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</si>
  <si>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</si>
  <si>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</si>
  <si>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</si>
  <si>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</si>
  <si>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</si>
  <si>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</si>
  <si>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</si>
  <si>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</si>
  <si>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</si>
  <si>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</si>
  <si>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</si>
  <si>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</si>
  <si>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</si>
  <si>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</si>
  <si>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</si>
  <si>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</si>
  <si>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</si>
  <si>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</si>
  <si>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</si>
  <si>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</si>
  <si>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</si>
  <si>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</si>
  <si>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</si>
  <si>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</si>
  <si>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</si>
  <si>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</si>
  <si>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</si>
  <si>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</si>
  <si>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</si>
  <si>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</si>
  <si>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</si>
  <si>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</si>
  <si>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</si>
  <si>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</si>
  <si>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</si>
  <si>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</si>
  <si>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</si>
  <si>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</si>
  <si>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</si>
  <si>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</si>
  <si>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</si>
  <si>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</si>
  <si>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</si>
  <si>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</si>
  <si>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</si>
  <si>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</si>
  <si>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</si>
  <si>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</si>
  <si>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</si>
  <si>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</si>
  <si>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</si>
  <si>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</si>
  <si>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</si>
  <si>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</si>
  <si>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</si>
  <si>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</si>
  <si>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</si>
  <si>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</si>
  <si>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</si>
  <si>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</si>
  <si>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</si>
  <si>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</si>
  <si>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</si>
  <si>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</si>
  <si>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</si>
  <si>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</si>
  <si>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</si>
  <si>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</si>
  <si>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</si>
  <si>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</si>
  <si>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</si>
  <si>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</si>
  <si>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</si>
  <si>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</si>
  <si>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</si>
  <si>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</si>
  <si>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</si>
  <si>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</si>
  <si>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</si>
  <si>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</si>
  <si>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</si>
  <si>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</si>
  <si>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</si>
  <si>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</si>
  <si>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</si>
  <si>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</si>
  <si>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</si>
  <si>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</si>
  <si>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</si>
  <si>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</si>
  <si>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</si>
  <si>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</si>
  <si>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</si>
  <si>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</si>
  <si>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</si>
  <si>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</si>
  <si>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</si>
  <si>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</si>
  <si>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</si>
  <si>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</si>
  <si>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</si>
  <si>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</si>
  <si>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</si>
  <si>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</si>
  <si>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</si>
  <si>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</si>
  <si>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</si>
  <si>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</si>
  <si>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</si>
  <si>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</si>
  <si>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</si>
  <si>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</si>
  <si>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</si>
  <si>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</si>
  <si>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</si>
  <si>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</si>
  <si>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</si>
  <si>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</si>
  <si>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</si>
  <si>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</si>
  <si>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</si>
  <si>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</si>
  <si>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</si>
  <si>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</si>
  <si>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</si>
  <si>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</si>
  <si>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</si>
  <si>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</si>
  <si>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</si>
  <si>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</si>
  <si>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</si>
  <si>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</si>
  <si>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</si>
  <si>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</si>
  <si>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</si>
  <si>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</si>
  <si>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</si>
  <si>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</si>
  <si>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</si>
  <si>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</si>
  <si>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</si>
  <si>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</si>
  <si>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</si>
  <si>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</si>
  <si>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</si>
  <si>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</si>
  <si>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</si>
  <si>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</si>
  <si>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</si>
  <si>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</si>
  <si>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</si>
  <si>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</si>
  <si>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</si>
  <si>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</si>
  <si>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</si>
  <si>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</si>
  <si>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</si>
  <si>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</si>
  <si>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</si>
  <si>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</si>
  <si>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</si>
  <si>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</si>
  <si>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</si>
  <si>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</si>
  <si>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</si>
  <si>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</si>
  <si>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</si>
  <si>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</si>
  <si>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</si>
  <si>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</si>
  <si>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</si>
  <si>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</si>
  <si>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</si>
  <si>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</si>
  <si>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</si>
  <si>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</si>
  <si>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</si>
  <si>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</si>
  <si>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</si>
  <si>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</si>
  <si>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</si>
  <si>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</si>
  <si>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</si>
  <si>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</si>
  <si>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</si>
  <si>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</si>
  <si>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</si>
  <si>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</si>
  <si>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</si>
  <si>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</si>
  <si>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</si>
  <si>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</si>
  <si>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</si>
  <si>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</si>
  <si>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</si>
  <si>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</si>
  <si>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</si>
  <si>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</si>
  <si>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</si>
  <si>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</si>
  <si>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</si>
  <si>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</si>
  <si>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</si>
  <si>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</si>
  <si>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</si>
  <si>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</si>
  <si>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</si>
  <si>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</si>
  <si>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</si>
  <si>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</si>
  <si>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</si>
  <si>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</si>
  <si>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</si>
  <si>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</si>
  <si>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</si>
  <si>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</si>
  <si>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</si>
  <si>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</si>
  <si>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</si>
  <si>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</si>
  <si>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</si>
  <si>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</si>
  <si>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</si>
  <si>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</si>
  <si>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</si>
  <si>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</si>
  <si>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</si>
  <si>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</si>
  <si>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</si>
  <si>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</si>
  <si>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</si>
  <si>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</si>
  <si>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</si>
  <si>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</si>
  <si>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</si>
  <si>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</si>
  <si>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</si>
  <si>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</si>
  <si>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</si>
  <si>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</si>
  <si>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</si>
  <si>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</si>
  <si>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</si>
  <si>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</si>
  <si>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</si>
  <si>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</si>
  <si>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</si>
  <si>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</si>
  <si>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</si>
  <si>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</si>
  <si>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</si>
  <si>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</si>
  <si>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</si>
  <si>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</si>
  <si>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</si>
  <si>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</si>
  <si>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</si>
  <si>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</si>
  <si>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</si>
  <si>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</si>
  <si>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</si>
  <si>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</si>
  <si>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</si>
  <si>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</si>
  <si>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</si>
  <si>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</si>
  <si>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</si>
  <si>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</si>
  <si>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</si>
  <si>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</si>
  <si>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</si>
  <si>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</si>
  <si>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</si>
  <si>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</si>
  <si>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</si>
  <si>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</si>
  <si>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</si>
  <si>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</si>
  <si>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</si>
  <si>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</si>
  <si>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</si>
  <si>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</si>
  <si>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</si>
  <si>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</si>
  <si>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</si>
  <si>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</si>
  <si>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</si>
  <si>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</si>
  <si>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</si>
  <si>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</si>
  <si>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</si>
  <si>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</si>
  <si>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</si>
  <si>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</si>
  <si>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</si>
  <si>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</si>
  <si>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</si>
  <si>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</si>
  <si>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</si>
  <si>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</si>
  <si>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</si>
  <si>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</si>
  <si>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</si>
  <si>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</si>
  <si>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</si>
  <si>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</si>
  <si>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</si>
  <si>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</si>
  <si>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</si>
  <si>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</si>
  <si>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</si>
  <si>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</si>
  <si>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</si>
  <si>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</si>
  <si>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</si>
  <si>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</si>
  <si>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</si>
  <si>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</si>
  <si>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</si>
  <si>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</si>
  <si>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</si>
  <si>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</si>
  <si>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</si>
  <si>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</si>
  <si>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</si>
  <si>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</si>
  <si>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</si>
  <si>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</si>
  <si>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</si>
  <si>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</si>
  <si>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</si>
  <si>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</si>
  <si>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</si>
  <si>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</si>
  <si>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</si>
  <si>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</si>
  <si>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</si>
  <si>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</si>
  <si>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</si>
  <si>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</si>
  <si>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</si>
  <si>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</si>
  <si>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</si>
  <si>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</si>
  <si>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</si>
  <si>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</si>
  <si>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</si>
  <si>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</si>
  <si>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</si>
  <si>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</si>
  <si>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</si>
  <si>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</si>
  <si>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</si>
  <si>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</si>
  <si>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</si>
  <si>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</si>
  <si>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</si>
  <si>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</si>
  <si>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</si>
  <si>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</si>
  <si>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</si>
  <si>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</si>
  <si>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</si>
  <si>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</si>
  <si>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</si>
  <si>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</si>
  <si>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</si>
  <si>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</si>
  <si>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</si>
  <si>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</si>
  <si>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</si>
  <si>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</si>
  <si>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</si>
  <si>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</si>
  <si>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</si>
  <si>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</si>
  <si>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</si>
  <si>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</si>
  <si>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</si>
  <si>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</si>
  <si>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</si>
  <si>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</si>
  <si>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</si>
  <si>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</si>
  <si>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</si>
  <si>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</si>
  <si>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</si>
  <si>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</si>
  <si>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</si>
  <si>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</si>
  <si>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</si>
  <si>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</si>
  <si>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</si>
  <si>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</si>
  <si>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</si>
  <si>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</si>
  <si>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</si>
  <si>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</si>
  <si>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</si>
  <si>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</si>
  <si>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</si>
  <si>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</si>
  <si>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</si>
  <si>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</si>
  <si>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</si>
  <si>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</si>
  <si>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</si>
  <si>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</si>
  <si>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</si>
  <si>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</si>
  <si>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</si>
  <si>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</si>
  <si>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</si>
  <si>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</si>
  <si>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</si>
  <si>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</si>
  <si>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</si>
  <si>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</si>
  <si>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</si>
  <si>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</si>
  <si>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</si>
  <si>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</si>
  <si>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</si>
  <si>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</si>
  <si>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</si>
  <si>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</si>
  <si>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</si>
  <si>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</si>
  <si>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</si>
  <si>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</si>
  <si>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</si>
  <si>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</si>
  <si>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</si>
  <si>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</si>
  <si>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</si>
  <si>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</si>
  <si>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</si>
  <si>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</si>
  <si>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</si>
  <si>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</si>
  <si>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</si>
  <si>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</si>
  <si>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</si>
  <si>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</si>
  <si>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</si>
  <si>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</si>
  <si>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</si>
  <si>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</si>
  <si>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</si>
  <si>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</si>
  <si>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</si>
  <si>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</si>
  <si>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</si>
  <si>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</si>
  <si>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</si>
  <si>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</si>
  <si>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</si>
  <si>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</si>
  <si>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</si>
  <si>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</si>
  <si>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</si>
  <si>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</si>
  <si>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</si>
  <si>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</si>
  <si>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</si>
  <si>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</si>
  <si>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</si>
  <si>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</si>
  <si>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</si>
  <si>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</si>
  <si>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</si>
  <si>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</si>
  <si>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</si>
  <si>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</si>
  <si>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</si>
  <si>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</si>
  <si>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</si>
  <si>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</si>
  <si>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</si>
  <si>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</si>
  <si>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</si>
  <si>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</si>
  <si>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</si>
  <si>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</si>
  <si>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</si>
  <si>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</si>
  <si>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</si>
  <si>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</si>
  <si>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</si>
  <si>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</si>
  <si>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</si>
  <si>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</si>
  <si>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</si>
  <si>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</si>
  <si>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</si>
  <si>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</si>
  <si>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</si>
  <si>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</si>
  <si>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</si>
  <si>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</si>
  <si>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</si>
  <si>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</si>
  <si>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</si>
  <si>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</si>
  <si>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</si>
  <si>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</si>
  <si>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</si>
  <si>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</si>
  <si>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</si>
  <si>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</si>
  <si>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</si>
  <si>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</si>
  <si>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</si>
  <si>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</si>
  <si>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</si>
  <si>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</si>
  <si>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</si>
  <si>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</si>
  <si>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</si>
  <si>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</si>
  <si>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</si>
  <si>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</si>
  <si>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</si>
  <si>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</si>
  <si>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</si>
  <si>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</si>
  <si>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</si>
  <si>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</si>
  <si>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</si>
  <si>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</si>
  <si>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</si>
  <si>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</si>
  <si>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</si>
  <si>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</si>
  <si>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</si>
  <si>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</si>
  <si>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</si>
  <si>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</si>
  <si>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</si>
  <si>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</si>
  <si>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</si>
  <si>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</si>
  <si>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</si>
  <si>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</si>
  <si>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</si>
  <si>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</si>
  <si>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</si>
  <si>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</si>
  <si>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</si>
  <si>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</si>
  <si>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</si>
  <si>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</si>
  <si>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</si>
  <si>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</si>
  <si>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</si>
  <si>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</si>
  <si>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</si>
  <si>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</si>
  <si>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</si>
  <si>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</si>
  <si>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</si>
  <si>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</si>
  <si>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</si>
  <si>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</si>
  <si>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</si>
  <si>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</si>
  <si>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</si>
  <si>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</si>
  <si>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</si>
  <si>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</si>
  <si>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</si>
  <si>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</si>
  <si>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</si>
  <si>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</si>
  <si>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</si>
  <si>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</si>
  <si>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</si>
  <si>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</si>
  <si>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</si>
  <si>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</si>
  <si>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</si>
  <si>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</si>
  <si>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</si>
  <si>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</si>
  <si>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</si>
  <si>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</si>
  <si>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</si>
  <si>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</si>
  <si>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</si>
  <si>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</si>
  <si>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</si>
  <si>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</si>
  <si>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</si>
  <si>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</si>
  <si>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</si>
  <si>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</si>
  <si>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</si>
  <si>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</si>
  <si>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</si>
  <si>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</si>
  <si>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</si>
  <si>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</si>
  <si>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</si>
  <si>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</si>
  <si>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</si>
  <si>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</si>
  <si>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</si>
  <si>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</si>
  <si>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</si>
  <si>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</si>
  <si>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</si>
  <si>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</si>
  <si>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</si>
  <si>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</si>
  <si>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</si>
  <si>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</si>
  <si>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</si>
  <si>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</si>
  <si>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</si>
  <si>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</si>
  <si>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</si>
  <si>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</si>
  <si>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</si>
  <si>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</si>
  <si>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</si>
  <si>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</si>
  <si>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</si>
  <si>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</si>
  <si>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</si>
  <si>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</si>
  <si>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</si>
  <si>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</si>
  <si>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</si>
  <si>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</si>
  <si>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</si>
  <si>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</si>
  <si>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</si>
  <si>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</si>
  <si>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</si>
  <si>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</si>
  <si>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</si>
  <si>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</si>
  <si>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</si>
  <si>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</si>
  <si>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</si>
  <si>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</si>
  <si>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</si>
  <si>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</si>
  <si>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</si>
  <si>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</si>
  <si>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</si>
  <si>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</si>
  <si>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</si>
  <si>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</si>
  <si>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</si>
  <si>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</si>
  <si>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</si>
  <si>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</si>
  <si>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</si>
  <si>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</si>
  <si>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</si>
  <si>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</si>
  <si>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</si>
  <si>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</si>
  <si>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</si>
  <si>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</si>
  <si>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</si>
  <si>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</si>
  <si>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</si>
  <si>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</si>
  <si>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</si>
  <si>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</si>
  <si>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</si>
  <si>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</si>
  <si>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</si>
  <si>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</si>
  <si>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</si>
  <si>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</si>
  <si>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</si>
  <si>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</si>
  <si>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</si>
  <si>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</si>
  <si>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</si>
  <si>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</si>
  <si>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</si>
  <si>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</si>
  <si>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</si>
  <si>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</si>
  <si>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</si>
  <si>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</si>
  <si>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</si>
  <si>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</si>
  <si>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</si>
  <si>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</si>
  <si>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</si>
  <si>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</si>
  <si>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</si>
  <si>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</si>
  <si>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</si>
  <si>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</si>
  <si>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</si>
  <si>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</si>
  <si>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</si>
  <si>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</si>
  <si>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</si>
  <si>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</si>
  <si>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</si>
  <si>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</si>
  <si>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</si>
  <si>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</si>
  <si>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</si>
  <si>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</si>
  <si>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</si>
  <si>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</si>
  <si>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</si>
  <si>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</si>
  <si>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</si>
  <si>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</si>
  <si>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</si>
  <si>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</si>
  <si>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</si>
  <si>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</si>
  <si>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</si>
  <si>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</si>
  <si>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</si>
  <si>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</si>
  <si>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</si>
  <si>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</si>
  <si>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</si>
  <si>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</si>
  <si>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</si>
  <si>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</si>
  <si>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</si>
  <si>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</si>
  <si>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</si>
  <si>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</si>
  <si>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</si>
  <si>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</si>
  <si>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</si>
  <si>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</si>
  <si>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</si>
  <si>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</si>
  <si>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</si>
  <si>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</si>
  <si>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</si>
  <si>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</si>
  <si>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</si>
  <si>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</si>
  <si>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</si>
  <si>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</si>
  <si>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</si>
  <si>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</si>
  <si>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</si>
  <si>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</si>
  <si>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</si>
  <si>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</si>
  <si>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</si>
  <si>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</si>
  <si>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</si>
  <si>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</si>
  <si>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</si>
  <si>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</si>
  <si>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</si>
  <si>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</si>
  <si>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</si>
  <si>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</si>
  <si>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</si>
  <si>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</si>
  <si>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</si>
  <si>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</si>
  <si>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</si>
  <si>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</si>
  <si>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</si>
  <si>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</si>
  <si>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</si>
  <si>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</si>
  <si>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</si>
  <si>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</si>
  <si>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</si>
  <si>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</si>
  <si>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</si>
  <si>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</si>
  <si>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</si>
  <si>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</si>
  <si>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</si>
  <si>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</si>
  <si>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</si>
  <si>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</si>
  <si>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</si>
  <si>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</si>
  <si>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</si>
  <si>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</si>
  <si>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</si>
  <si>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</si>
  <si>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</si>
  <si>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</si>
  <si>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</si>
  <si>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</si>
  <si>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</si>
  <si>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</si>
  <si>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</si>
  <si>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</si>
  <si>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</si>
  <si>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</si>
  <si>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</si>
  <si>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</si>
  <si>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</si>
  <si>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</si>
  <si>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</si>
  <si>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</si>
  <si>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</si>
  <si>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</si>
  <si>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</si>
  <si>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</si>
  <si>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</si>
  <si>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</si>
  <si>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</si>
  <si>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</si>
  <si>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</si>
  <si>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</si>
  <si>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</si>
  <si>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</si>
  <si>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</si>
  <si>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</si>
  <si>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</si>
  <si>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</si>
  <si>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</si>
  <si>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</si>
  <si>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</si>
  <si>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</si>
  <si>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</si>
  <si>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</si>
  <si>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</si>
  <si>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</si>
  <si>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</si>
  <si>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</si>
  <si>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</si>
  <si>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</si>
  <si>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</si>
  <si>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</si>
  <si>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</si>
  <si>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</si>
  <si>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</si>
  <si>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</si>
  <si>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</si>
  <si>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</si>
  <si>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</si>
  <si>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</si>
  <si>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</si>
  <si>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</si>
  <si>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</si>
  <si>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</si>
  <si>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</si>
  <si>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</si>
  <si>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</si>
  <si>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</si>
  <si>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</si>
  <si>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</si>
  <si>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</si>
  <si>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</si>
  <si>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</si>
  <si>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</si>
  <si>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</si>
  <si>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</si>
  <si>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</si>
  <si>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</si>
  <si>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</si>
  <si>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</si>
  <si>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</si>
  <si>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</si>
  <si>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</si>
  <si>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</si>
  <si>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</si>
  <si>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</si>
  <si>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</si>
  <si>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</si>
  <si>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</si>
  <si>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</si>
  <si>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</si>
  <si>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</si>
  <si>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</si>
  <si>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</si>
  <si>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</si>
  <si>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</si>
  <si>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</si>
  <si>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</si>
  <si>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</si>
  <si>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</si>
  <si>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</si>
  <si>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</si>
  <si>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</si>
  <si>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</si>
  <si>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</si>
  <si>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</si>
  <si>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</si>
  <si>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</si>
  <si>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</si>
  <si>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</si>
  <si>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</si>
  <si>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</si>
  <si>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</si>
  <si>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</si>
  <si>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</si>
  <si>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</si>
  <si>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</si>
  <si>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</si>
  <si>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</si>
  <si>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</si>
  <si>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</si>
  <si>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</si>
  <si>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</si>
  <si>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</si>
  <si>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</si>
  <si>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</si>
  <si>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</si>
  <si>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</si>
  <si>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</si>
  <si>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</si>
  <si>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</si>
  <si>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</si>
  <si>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</si>
  <si>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</si>
  <si>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</si>
  <si>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</si>
  <si>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</si>
  <si>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</si>
  <si>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</si>
  <si>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</si>
  <si>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</si>
  <si>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</si>
  <si>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</si>
  <si>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</si>
  <si>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</si>
  <si>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</si>
  <si>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</si>
  <si>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</si>
  <si>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</si>
  <si>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</si>
  <si>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</si>
  <si>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</si>
  <si>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</si>
  <si>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</si>
  <si>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</si>
  <si>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</si>
  <si>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</si>
  <si>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</si>
  <si>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</si>
  <si>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</si>
  <si>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</si>
  <si>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</si>
  <si>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</si>
  <si>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</si>
  <si>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</si>
  <si>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</si>
  <si>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</si>
  <si>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</si>
  <si>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</si>
  <si>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</si>
  <si>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</si>
  <si>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</si>
  <si>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</si>
  <si>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</si>
  <si>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</si>
  <si>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</si>
  <si>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</si>
  <si>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</si>
  <si>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</si>
  <si>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</si>
  <si>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</si>
  <si>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</si>
  <si>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</si>
  <si>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</si>
  <si>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</si>
  <si>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</si>
  <si>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</si>
  <si>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</si>
  <si>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</si>
  <si>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</si>
  <si>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</si>
  <si>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</si>
  <si>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</si>
  <si>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</si>
  <si>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</si>
  <si>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</si>
  <si>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</si>
  <si>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</si>
  <si>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</si>
  <si>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</si>
  <si>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</si>
  <si>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</si>
  <si>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</si>
  <si>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</si>
  <si>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</si>
  <si>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</si>
  <si>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</si>
  <si>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</si>
  <si>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</si>
  <si>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</si>
  <si>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</si>
  <si>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</si>
  <si>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</si>
  <si>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</si>
  <si>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</si>
  <si>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</si>
  <si>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</si>
  <si>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</si>
  <si>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</si>
  <si>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</si>
  <si>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</si>
  <si>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</si>
  <si>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</si>
  <si>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</si>
  <si>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</si>
  <si>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</si>
  <si>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</si>
  <si>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</si>
  <si>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</si>
  <si>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</si>
  <si>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</si>
  <si>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</si>
  <si>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</si>
  <si>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</si>
  <si>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</si>
  <si>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</si>
  <si>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</si>
  <si>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</si>
  <si>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</si>
  <si>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</si>
  <si>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</si>
  <si>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</si>
  <si>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</si>
  <si>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</si>
  <si>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</si>
  <si>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</si>
  <si>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</si>
  <si>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</si>
  <si>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</si>
  <si>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</si>
  <si>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</si>
  <si>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</si>
  <si>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</si>
  <si>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</si>
  <si>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</si>
  <si>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</si>
  <si>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</si>
  <si>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</si>
  <si>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</si>
  <si>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</si>
  <si>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</si>
  <si>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</si>
  <si>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</si>
  <si>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</si>
  <si>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</si>
  <si>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</si>
  <si>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</si>
  <si>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</si>
  <si>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</si>
  <si>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</si>
  <si>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</si>
  <si>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</si>
  <si>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</si>
  <si>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</si>
  <si>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</si>
  <si>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</si>
  <si>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</si>
  <si>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</si>
  <si>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</si>
  <si>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</si>
  <si>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</si>
  <si>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</si>
  <si>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</si>
  <si>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</si>
  <si>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</si>
  <si>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</si>
  <si>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</si>
  <si>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</si>
  <si>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</si>
  <si>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</si>
  <si>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</si>
  <si>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</si>
  <si>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</si>
  <si>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</si>
  <si>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</si>
  <si>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</si>
  <si>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</si>
  <si>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</si>
  <si>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</si>
  <si>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</si>
  <si>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</si>
  <si>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</si>
  <si>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</si>
  <si>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</si>
  <si>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</si>
  <si>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</si>
  <si>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</si>
  <si>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</si>
  <si>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</si>
  <si>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</si>
  <si>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</si>
  <si>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</si>
  <si>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</si>
  <si>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</si>
  <si>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</si>
  <si>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</si>
  <si>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</si>
  <si>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</si>
  <si>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</si>
  <si>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</si>
  <si>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</si>
  <si>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</si>
  <si>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</si>
  <si>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</si>
  <si>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</si>
  <si>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</si>
  <si>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</si>
  <si>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</si>
  <si>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</si>
  <si>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</si>
  <si>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</si>
  <si>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</si>
  <si>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</si>
  <si>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</si>
  <si>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</si>
  <si>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</si>
  <si>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</si>
  <si>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</si>
  <si>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</si>
  <si>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</si>
  <si>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</si>
  <si>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</si>
  <si>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</si>
  <si>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</si>
  <si>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</si>
  <si>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</si>
  <si>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</si>
  <si>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</si>
  <si>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</si>
  <si>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</si>
  <si>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</si>
  <si>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</si>
  <si>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</si>
  <si>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</si>
  <si>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</si>
  <si>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</si>
  <si>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</si>
  <si>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</si>
  <si>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</si>
  <si>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</si>
  <si>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</si>
  <si>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</si>
  <si>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</si>
  <si>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</si>
  <si>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</si>
  <si>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</si>
  <si>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</si>
  <si>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</si>
  <si>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</si>
  <si>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</si>
  <si>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</si>
  <si>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</si>
  <si>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</si>
  <si>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</si>
  <si>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</si>
  <si>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</si>
  <si>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</si>
  <si>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</si>
  <si>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</si>
  <si>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</si>
  <si>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</si>
  <si>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</si>
  <si>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</si>
  <si>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</si>
  <si>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</si>
  <si>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</si>
  <si>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</si>
  <si>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</si>
  <si>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</si>
  <si>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</si>
  <si>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</si>
  <si>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</si>
  <si>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</si>
  <si>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</si>
  <si>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</si>
  <si>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</si>
  <si>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</si>
  <si>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</si>
  <si>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</si>
  <si>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</si>
  <si>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</si>
  <si>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</si>
  <si>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</si>
  <si>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</si>
  <si>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</si>
  <si>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</si>
  <si>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</si>
  <si>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</si>
  <si>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</si>
  <si>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</si>
  <si>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</si>
  <si>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</si>
  <si>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</si>
  <si>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</si>
  <si>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</si>
  <si>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</si>
  <si>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</si>
  <si>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</si>
  <si>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</si>
  <si>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</si>
  <si>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</si>
  <si>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</si>
  <si>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</si>
  <si>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</si>
  <si>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</si>
  <si>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</si>
  <si>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</si>
  <si>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</si>
  <si>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</si>
  <si>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</si>
  <si>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</si>
  <si>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</si>
  <si>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</si>
  <si>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</si>
  <si>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</si>
  <si>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</si>
  <si>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</si>
  <si>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</si>
  <si>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</si>
  <si>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</si>
  <si>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</si>
  <si>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</si>
  <si>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</si>
  <si>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</si>
  <si>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</si>
  <si>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</si>
  <si>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</si>
  <si>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</si>
  <si>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</si>
  <si>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</si>
  <si>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</si>
  <si>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</si>
  <si>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</si>
  <si>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</si>
  <si>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</si>
  <si>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</si>
  <si>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</si>
  <si>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</si>
  <si>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</si>
  <si>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</si>
  <si>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</si>
  <si>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</si>
  <si>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</si>
  <si>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</si>
  <si>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</si>
  <si>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</si>
  <si>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</si>
  <si>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</si>
  <si>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</si>
  <si>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</si>
  <si>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</si>
  <si>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</si>
  <si>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</si>
  <si>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</si>
  <si>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</si>
  <si>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</si>
  <si>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</si>
  <si>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</si>
  <si>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</si>
  <si>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</si>
  <si>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</si>
  <si>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</si>
  <si>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</si>
  <si>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</si>
  <si>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</si>
  <si>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</si>
  <si>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</si>
  <si>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</si>
  <si>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</si>
  <si>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</si>
  <si>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</si>
  <si>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</si>
  <si>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</si>
  <si>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</si>
  <si>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</si>
  <si>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</si>
  <si>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</si>
  <si>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</si>
  <si>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</si>
  <si>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</si>
  <si>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</si>
  <si>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</si>
  <si>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</si>
  <si>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</si>
  <si>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</si>
  <si>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</si>
  <si>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</si>
  <si>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</si>
  <si>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</si>
  <si>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</si>
  <si>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</si>
  <si>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</si>
  <si>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</si>
  <si>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</si>
  <si>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</si>
  <si>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</si>
  <si>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</si>
  <si>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</si>
  <si>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</si>
  <si>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</si>
  <si>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</si>
  <si>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</si>
  <si>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</si>
  <si>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</si>
  <si>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</si>
  <si>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</si>
  <si>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</si>
  <si>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</si>
  <si>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</si>
  <si>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</si>
  <si>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</si>
  <si>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</si>
  <si>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</si>
  <si>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</si>
  <si>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</si>
  <si>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</si>
  <si>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</si>
  <si>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</si>
  <si>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</si>
  <si>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</si>
  <si>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</si>
  <si>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</si>
  <si>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</si>
  <si>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</si>
  <si>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</si>
  <si>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</si>
  <si>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</si>
  <si>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</si>
  <si>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</si>
  <si>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</si>
  <si>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</si>
  <si>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</si>
  <si>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</si>
  <si>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</si>
  <si>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</si>
  <si>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</si>
  <si>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</si>
  <si>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</si>
  <si>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</si>
  <si>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</si>
  <si>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</si>
  <si>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</si>
  <si>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</si>
  <si>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</si>
  <si>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</si>
  <si>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</si>
  <si>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</si>
  <si>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</si>
  <si>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</si>
  <si>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</si>
  <si>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</si>
  <si>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</si>
  <si>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</si>
  <si>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</si>
  <si>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</si>
  <si>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</si>
  <si>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</si>
  <si>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</si>
  <si>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</si>
  <si>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</si>
  <si>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</si>
  <si>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</si>
  <si>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</si>
  <si>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</si>
  <si>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</si>
  <si>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</si>
  <si>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</si>
  <si>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</si>
  <si>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</si>
  <si>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</si>
  <si>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</si>
  <si>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</si>
  <si>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</si>
  <si>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</si>
  <si>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</si>
  <si>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</si>
  <si>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</si>
  <si>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</si>
  <si>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</si>
  <si>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</si>
  <si>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</si>
  <si>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</si>
  <si>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</si>
  <si>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</si>
  <si>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</si>
  <si>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</si>
  <si>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</si>
  <si>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</si>
  <si>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</si>
  <si>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</si>
  <si>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</si>
  <si>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</si>
  <si>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</si>
  <si>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</si>
  <si>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</si>
  <si>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</si>
  <si>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</si>
  <si>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</si>
  <si>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</si>
  <si>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</si>
  <si>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</si>
  <si>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</si>
  <si>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</si>
  <si>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</si>
  <si>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</si>
  <si>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</si>
  <si>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</si>
  <si>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</si>
  <si>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</si>
  <si>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</si>
  <si>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</si>
  <si>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</si>
  <si>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</si>
  <si>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</si>
  <si>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</si>
  <si>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</si>
  <si>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</si>
  <si>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</si>
  <si>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</si>
  <si>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</si>
  <si>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</si>
  <si>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</si>
  <si>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</si>
  <si>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</si>
  <si>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</si>
  <si>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</si>
  <si>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</si>
  <si>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</si>
  <si>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</si>
  <si>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</si>
  <si>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</si>
  <si>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</si>
  <si>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</si>
  <si>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</si>
  <si>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</si>
  <si>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</si>
  <si>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</si>
  <si>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</si>
  <si>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</si>
  <si>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</si>
  <si>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</si>
  <si>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</si>
  <si>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</si>
  <si>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</si>
  <si>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</si>
  <si>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</si>
  <si>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</si>
  <si>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</si>
  <si>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</si>
  <si>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</si>
  <si>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</si>
  <si>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</si>
  <si>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</si>
  <si>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</si>
  <si>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</si>
  <si>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</si>
  <si>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</si>
  <si>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</si>
  <si>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</si>
  <si>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</si>
  <si>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</si>
  <si>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</si>
  <si>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</si>
  <si>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</si>
  <si>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</si>
  <si>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</si>
  <si>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</si>
  <si>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</si>
  <si>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</si>
  <si>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</si>
  <si>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</si>
  <si>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</si>
  <si>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</si>
  <si>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</si>
  <si>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</si>
  <si>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</si>
  <si>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</si>
  <si>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</si>
  <si>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</si>
  <si>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</si>
  <si>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</si>
  <si>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</si>
  <si>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</si>
  <si>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</si>
  <si>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</si>
  <si>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</si>
  <si>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</si>
  <si>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</si>
  <si>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</si>
  <si>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</si>
  <si>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</si>
  <si>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</si>
  <si>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</si>
  <si>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</si>
  <si>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</si>
  <si>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</si>
  <si>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</si>
  <si>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</si>
  <si>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</si>
  <si>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</si>
  <si>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</si>
  <si>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</si>
  <si>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</si>
  <si>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</si>
  <si>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</si>
  <si>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</si>
  <si>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</si>
  <si>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</si>
  <si>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</si>
  <si>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</si>
  <si>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</si>
  <si>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</si>
  <si>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</si>
  <si>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</si>
  <si>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</si>
  <si>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</si>
  <si>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</si>
  <si>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</si>
  <si>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</si>
  <si>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</si>
  <si>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</si>
  <si>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</si>
  <si>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</si>
  <si>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</si>
  <si>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</si>
  <si>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</si>
  <si>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</si>
  <si>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</si>
  <si>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</si>
  <si>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</si>
  <si>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</si>
  <si>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</si>
  <si>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</si>
  <si>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</si>
  <si>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</si>
  <si>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</si>
  <si>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</si>
  <si>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</si>
  <si>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</si>
  <si>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</si>
  <si>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</si>
  <si>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</si>
  <si>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</si>
  <si>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</si>
  <si>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</si>
  <si>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</si>
  <si>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</si>
  <si>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</si>
  <si>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</si>
  <si>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</si>
  <si>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</si>
  <si>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</si>
  <si>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</si>
  <si>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</si>
  <si>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</si>
  <si>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</si>
  <si>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</si>
  <si>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</si>
  <si>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</si>
  <si>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</si>
  <si>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</si>
  <si>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</si>
  <si>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</si>
  <si>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</si>
  <si>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</si>
  <si>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</si>
  <si>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</si>
  <si>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</si>
  <si>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</si>
  <si>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</si>
  <si>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</si>
  <si>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</si>
  <si>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</si>
  <si>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</si>
  <si>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</si>
  <si>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</si>
  <si>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</si>
  <si>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</si>
  <si>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</si>
  <si>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</si>
  <si>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</si>
  <si>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</si>
  <si>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</si>
  <si>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</si>
  <si>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</si>
  <si>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</si>
  <si>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</si>
  <si>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</si>
  <si>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</si>
  <si>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</si>
  <si>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</si>
  <si>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</si>
  <si>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</si>
  <si>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</si>
  <si>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</si>
  <si>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</si>
  <si>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</si>
  <si>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</si>
  <si>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</si>
  <si>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</si>
  <si>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</si>
  <si>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</si>
  <si>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</si>
  <si>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</si>
  <si>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</si>
  <si>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</si>
  <si>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</si>
  <si>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</si>
  <si>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</si>
  <si>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</si>
  <si>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</si>
  <si>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</si>
  <si>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</si>
  <si>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</si>
  <si>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</si>
  <si>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</si>
  <si>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</si>
  <si>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</si>
  <si>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</si>
  <si>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</si>
  <si>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</si>
  <si>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</si>
  <si>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</si>
  <si>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</si>
  <si>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</si>
  <si>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</si>
  <si>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</si>
  <si>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</si>
  <si>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</si>
  <si>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</si>
  <si>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</si>
  <si>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</si>
  <si>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</si>
  <si>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</si>
  <si>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</si>
  <si>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</si>
  <si>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</si>
  <si>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</si>
  <si>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</si>
  <si>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</si>
  <si>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</si>
  <si>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</si>
  <si>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</si>
  <si>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</si>
  <si>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</si>
  <si>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</si>
  <si>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</si>
  <si>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</si>
  <si>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</si>
  <si>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</si>
  <si>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</si>
  <si>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</si>
  <si>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</si>
  <si>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</si>
  <si>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</si>
  <si>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</si>
  <si>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</si>
  <si>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</si>
  <si>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</si>
  <si>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</si>
  <si>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</si>
  <si>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</si>
  <si>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</si>
  <si>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</si>
  <si>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</si>
  <si>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</si>
  <si>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</si>
  <si>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</si>
  <si>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</si>
  <si>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</si>
  <si>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</si>
  <si>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</si>
  <si>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</si>
  <si>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</si>
  <si>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</si>
  <si>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</si>
  <si>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</si>
  <si>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</si>
  <si>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</si>
  <si>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</si>
  <si>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</si>
  <si>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</si>
  <si>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</si>
  <si>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</si>
  <si>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</si>
  <si>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</si>
  <si>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</si>
  <si>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</si>
  <si>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</si>
  <si>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</si>
  <si>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</si>
  <si>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</si>
  <si>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</si>
  <si>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</si>
  <si>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</si>
  <si>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</si>
  <si>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</si>
  <si>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</si>
  <si>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</si>
  <si>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</si>
  <si>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</si>
  <si>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</si>
  <si>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</si>
  <si>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</si>
  <si>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</si>
  <si>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</si>
  <si>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</si>
  <si>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</si>
  <si>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</si>
  <si>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</si>
  <si>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</si>
  <si>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</si>
  <si>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</si>
  <si>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</si>
  <si>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</si>
  <si>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</si>
  <si>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</si>
  <si>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</si>
  <si>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</si>
  <si>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</si>
  <si>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</si>
  <si>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</si>
  <si>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</si>
  <si>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</si>
  <si>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</si>
  <si>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</si>
  <si>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</si>
  <si>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</si>
  <si>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</si>
  <si>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</si>
  <si>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</si>
  <si>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</si>
  <si>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</si>
  <si>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</si>
  <si>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</si>
  <si>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</si>
  <si>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</si>
  <si>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</si>
  <si>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</si>
  <si>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</si>
  <si>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</si>
  <si>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</si>
  <si>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</si>
  <si>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</si>
  <si>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</si>
  <si>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</si>
  <si>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</si>
  <si>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</si>
  <si>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</si>
  <si>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</si>
  <si>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</si>
  <si>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</si>
  <si>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</si>
  <si>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</si>
  <si>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</si>
  <si>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</si>
  <si>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</si>
  <si>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</si>
  <si>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</si>
  <si>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</si>
  <si>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</si>
  <si>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</si>
  <si>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</si>
  <si>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</si>
  <si>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</si>
  <si>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</si>
  <si>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</si>
  <si>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</si>
  <si>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</si>
  <si>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</si>
  <si>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</si>
  <si>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</si>
  <si>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</si>
  <si>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</si>
  <si>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</si>
  <si>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</si>
  <si>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</si>
  <si>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</si>
  <si>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</si>
  <si>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</si>
  <si>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</si>
  <si>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</si>
  <si>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</si>
  <si>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</si>
  <si>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</si>
  <si>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</si>
  <si>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</si>
  <si>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</si>
  <si>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</si>
  <si>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</si>
  <si>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</si>
  <si>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</si>
  <si>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</si>
  <si>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</si>
  <si>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</si>
  <si>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</si>
  <si>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</si>
  <si>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</si>
  <si>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</si>
  <si>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</si>
  <si>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</si>
  <si>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</si>
  <si>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</si>
  <si>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</si>
  <si>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</si>
  <si>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</si>
  <si>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</si>
  <si>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</si>
  <si>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</si>
  <si>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</si>
  <si>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</si>
  <si>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</si>
  <si>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</si>
  <si>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</si>
  <si>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</si>
  <si>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</si>
  <si>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</si>
  <si>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</si>
  <si>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</si>
  <si>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</si>
  <si>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</si>
  <si>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</si>
  <si>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</si>
  <si>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</si>
  <si>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</si>
  <si>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</si>
  <si>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</si>
  <si>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</si>
  <si>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</si>
  <si>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</si>
  <si>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</si>
  <si>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</si>
  <si>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</si>
  <si>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</si>
  <si>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</si>
  <si>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</si>
  <si>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</si>
  <si>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</si>
  <si>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</si>
  <si>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</si>
  <si>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</si>
  <si>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</si>
  <si>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</si>
  <si>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</si>
  <si>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</si>
  <si>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</si>
  <si>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</si>
  <si>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</si>
  <si>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</si>
  <si>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</si>
  <si>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</si>
  <si>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</si>
  <si>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</si>
  <si>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</si>
  <si>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</si>
  <si>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</si>
  <si>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</si>
  <si>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</si>
  <si>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</si>
  <si>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</si>
  <si>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</si>
  <si>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</si>
  <si>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</si>
  <si>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</si>
  <si>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</si>
  <si>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</si>
  <si>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</si>
  <si>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</si>
  <si>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</si>
  <si>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</si>
  <si>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</si>
  <si>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</si>
  <si>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</si>
  <si>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</si>
  <si>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</si>
  <si>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</si>
  <si>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</si>
  <si>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</si>
  <si>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</si>
  <si>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</si>
  <si>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</si>
  <si>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</si>
  <si>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</si>
  <si>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</si>
  <si>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</si>
  <si>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</si>
  <si>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</si>
  <si>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</si>
  <si>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</si>
  <si>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</si>
  <si>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</si>
  <si>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</si>
  <si>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</si>
  <si>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</si>
  <si>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</si>
  <si>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</si>
  <si>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</si>
  <si>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</si>
  <si>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</si>
  <si>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</si>
  <si>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</si>
  <si>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</si>
  <si>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</si>
  <si>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</si>
  <si>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</si>
  <si>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</si>
  <si>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</si>
  <si>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</si>
  <si>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</si>
  <si>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</si>
  <si>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</si>
  <si>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</si>
  <si>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</si>
  <si>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</si>
  <si>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</si>
  <si>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</si>
  <si>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</si>
  <si>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</si>
  <si>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</si>
  <si>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</si>
  <si>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</si>
  <si>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</si>
  <si>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</si>
  <si>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</si>
  <si>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</si>
  <si>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</si>
  <si>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</si>
  <si>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</si>
  <si>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</si>
  <si>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</si>
  <si>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</si>
  <si>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</si>
  <si>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</si>
  <si>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</si>
  <si>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</si>
  <si>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</si>
  <si>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</si>
  <si>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</si>
  <si>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</si>
  <si>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</si>
  <si>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</si>
  <si>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</si>
  <si>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</si>
  <si>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</si>
  <si>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</si>
  <si>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</si>
  <si>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</si>
  <si>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</si>
  <si>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</si>
  <si>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</si>
  <si>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</si>
  <si>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</si>
  <si>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</si>
  <si>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</si>
  <si>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</si>
  <si>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</si>
  <si>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</si>
  <si>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</si>
  <si>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</si>
  <si>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</si>
  <si>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</si>
  <si>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</si>
  <si>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</si>
  <si>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</si>
  <si>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</si>
  <si>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</si>
  <si>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</si>
  <si>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</si>
  <si>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</si>
  <si>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</si>
  <si>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</si>
  <si>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</si>
  <si>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</si>
  <si>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</si>
  <si>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</si>
  <si>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</si>
  <si>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</si>
  <si>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</si>
  <si>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</si>
  <si>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</si>
  <si>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</si>
  <si>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</si>
  <si>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</si>
  <si>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</si>
  <si>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</si>
  <si>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</si>
  <si>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</si>
  <si>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</si>
  <si>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</si>
  <si>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</si>
  <si>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</si>
  <si>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</si>
  <si>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</si>
  <si>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</si>
  <si>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</si>
  <si>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</si>
  <si>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</si>
  <si>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</si>
  <si>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</si>
  <si>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</si>
  <si>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</si>
  <si>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</si>
  <si>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</si>
  <si>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</si>
  <si>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</si>
  <si>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</si>
  <si>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</si>
  <si>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</si>
  <si>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</si>
  <si>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</si>
  <si>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</si>
  <si>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</si>
  <si>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</si>
  <si>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</si>
  <si>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</si>
  <si>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</si>
  <si>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</si>
  <si>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</si>
  <si>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</si>
  <si>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</si>
  <si>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</si>
  <si>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</si>
  <si>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</si>
  <si>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</si>
  <si>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</si>
  <si>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</si>
  <si>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</si>
  <si>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</si>
  <si>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</si>
  <si>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</si>
  <si>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</si>
  <si>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</si>
  <si>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</si>
  <si>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</si>
  <si>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</si>
  <si>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</si>
  <si>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</si>
  <si>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</si>
  <si>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</si>
  <si>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</si>
  <si>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</si>
  <si>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</si>
  <si>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</si>
  <si>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</si>
  <si>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</si>
  <si>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</si>
  <si>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</si>
  <si>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</si>
  <si>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</si>
  <si>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</si>
  <si>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</si>
  <si>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</si>
  <si>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</si>
  <si>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</si>
  <si>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</si>
  <si>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</si>
  <si>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</si>
  <si>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</si>
  <si>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</si>
  <si>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</si>
  <si>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</si>
  <si>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</si>
  <si>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</si>
  <si>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</si>
  <si>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</si>
  <si>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</si>
  <si>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</si>
  <si>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</si>
  <si>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</si>
  <si>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</si>
  <si>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</si>
  <si>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</si>
  <si>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</si>
  <si>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</si>
  <si>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</si>
  <si>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</si>
  <si>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</si>
  <si>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</si>
  <si>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</si>
  <si>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</si>
  <si>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</si>
  <si>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</si>
  <si>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</si>
  <si>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</si>
  <si>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</si>
  <si>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</si>
  <si>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</si>
  <si>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</si>
  <si>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</si>
  <si>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</si>
  <si>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</si>
  <si>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</si>
  <si>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</si>
  <si>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</si>
  <si>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</si>
  <si>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</si>
  <si>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</si>
  <si>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</si>
  <si>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</si>
  <si>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</si>
  <si>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</si>
  <si>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</si>
  <si>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</si>
  <si>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</si>
  <si>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</si>
  <si>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</si>
  <si>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</si>
  <si>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</si>
  <si>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</si>
  <si>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</si>
  <si>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</si>
  <si>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</si>
  <si>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</si>
  <si>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</si>
  <si>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</si>
  <si>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</si>
  <si>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</si>
  <si>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</si>
  <si>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</si>
  <si>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</si>
  <si>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</si>
  <si>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</si>
  <si>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</si>
  <si>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</si>
  <si>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</si>
  <si>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</si>
  <si>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</si>
  <si>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</si>
  <si>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</si>
  <si>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</si>
  <si>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</si>
  <si>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</si>
  <si>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</si>
  <si>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</si>
  <si>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</si>
  <si>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</si>
  <si>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</si>
  <si>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</si>
  <si>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</si>
  <si>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</si>
  <si>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</si>
  <si>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</si>
  <si>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</si>
  <si>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</si>
  <si>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</si>
  <si>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</si>
  <si>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</si>
  <si>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</si>
  <si>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</si>
  <si>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</si>
  <si>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</si>
  <si>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</si>
  <si>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</si>
  <si>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</si>
  <si>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</si>
  <si>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</si>
  <si>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</si>
  <si>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</si>
  <si>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</si>
  <si>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</si>
  <si>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</si>
  <si>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</si>
  <si>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</si>
  <si>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</si>
  <si>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</si>
  <si>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</si>
  <si>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</si>
  <si>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</si>
  <si>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</si>
  <si>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</si>
  <si>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</si>
  <si>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</si>
  <si>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</si>
  <si>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</si>
  <si>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</si>
  <si>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</si>
  <si>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</si>
  <si>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</si>
  <si>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</si>
  <si>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</si>
  <si>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</si>
  <si>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</si>
  <si>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</si>
  <si>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</si>
  <si>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</si>
  <si>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</si>
  <si>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</si>
  <si>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</si>
  <si>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</si>
  <si>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</si>
  <si>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</si>
  <si>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</si>
  <si>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</si>
  <si>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</si>
  <si>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</si>
  <si>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</si>
  <si>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</si>
  <si>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</si>
  <si>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</si>
  <si>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</si>
  <si>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</si>
  <si>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</si>
  <si>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</si>
  <si>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</si>
  <si>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</si>
  <si>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</si>
  <si>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</si>
  <si>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</si>
  <si>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</si>
  <si>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</si>
  <si>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</si>
  <si>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</si>
  <si>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</si>
  <si>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</si>
  <si>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</si>
  <si>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</si>
  <si>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</si>
  <si>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</si>
  <si>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</si>
  <si>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</si>
  <si>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</si>
  <si>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</si>
  <si>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</si>
  <si>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</si>
  <si>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</si>
  <si>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</si>
  <si>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</si>
  <si>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</si>
  <si>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</si>
  <si>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</si>
  <si>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</si>
  <si>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</si>
  <si>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</si>
  <si>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</si>
  <si>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</si>
  <si>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</si>
  <si>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</si>
  <si>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</si>
  <si>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</si>
  <si>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</si>
  <si>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</si>
  <si>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</si>
  <si>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</si>
  <si>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</si>
  <si>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</si>
  <si>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</si>
  <si>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</si>
  <si>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</si>
  <si>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</si>
  <si>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</si>
  <si>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</si>
  <si>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</si>
  <si>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</si>
  <si>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</si>
  <si>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</si>
  <si>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</si>
  <si>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</si>
  <si>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</si>
  <si>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</si>
  <si>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</si>
  <si>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</si>
  <si>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</si>
  <si>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</si>
  <si>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</si>
  <si>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</si>
  <si>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</si>
  <si>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</si>
  <si>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</si>
  <si>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</si>
  <si>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</si>
  <si>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</si>
  <si>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</si>
  <si>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</si>
  <si>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</si>
  <si>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</si>
  <si>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</si>
  <si>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</si>
  <si>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</si>
  <si>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</si>
  <si>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</si>
  <si>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</si>
  <si>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</si>
  <si>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</si>
  <si>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</si>
  <si>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</si>
  <si>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</si>
  <si>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</si>
  <si>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</si>
  <si>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</si>
  <si>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</si>
  <si>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</si>
  <si>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</si>
  <si>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</si>
  <si>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</si>
  <si>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</si>
  <si>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</si>
  <si>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</si>
  <si>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</si>
  <si>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</si>
  <si>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</si>
  <si>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</si>
  <si>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</si>
  <si>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</si>
  <si>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</si>
  <si>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</si>
  <si>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</si>
  <si>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</si>
  <si>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</si>
  <si>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</si>
  <si>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</si>
  <si>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</si>
  <si>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</si>
  <si>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</si>
  <si>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</si>
  <si>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</si>
  <si>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</si>
  <si>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</si>
  <si>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</si>
  <si>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</si>
  <si>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</si>
  <si>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</si>
  <si>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</si>
  <si>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</si>
  <si>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</si>
  <si>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</si>
  <si>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</si>
  <si>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</si>
  <si>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</si>
  <si>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</si>
  <si>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</si>
  <si>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</si>
  <si>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</si>
  <si>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</si>
  <si>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</si>
  <si>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</si>
  <si>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</si>
  <si>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</si>
  <si>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</si>
  <si>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</si>
  <si>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</si>
  <si>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</si>
  <si>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</si>
  <si>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</si>
  <si>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</si>
  <si>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</si>
  <si>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</si>
  <si>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</si>
  <si>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</si>
  <si>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</si>
  <si>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</si>
  <si>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</si>
  <si>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</si>
  <si>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</si>
  <si>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</si>
  <si>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</si>
  <si>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</si>
  <si>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</si>
  <si>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</si>
  <si>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</si>
  <si>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</si>
  <si>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</si>
  <si>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</si>
  <si>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</si>
  <si>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</si>
  <si>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</si>
  <si>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</si>
  <si>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</si>
  <si>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</si>
  <si>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</si>
  <si>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</si>
  <si>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</si>
  <si>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</si>
  <si>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</si>
  <si>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</si>
  <si>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</si>
  <si>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</si>
  <si>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</si>
  <si>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</si>
  <si>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</si>
  <si>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</si>
  <si>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</si>
  <si>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</si>
  <si>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</si>
  <si>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</si>
  <si>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</si>
  <si>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</si>
  <si>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</si>
  <si>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</si>
  <si>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</si>
  <si>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</si>
  <si>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</si>
  <si>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</si>
  <si>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</si>
  <si>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</si>
  <si>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</si>
  <si>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</si>
  <si>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</si>
  <si>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</si>
  <si>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</si>
  <si>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</si>
  <si>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</si>
  <si>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</si>
  <si>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</si>
  <si>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</si>
  <si>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</si>
  <si>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</si>
  <si>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</si>
  <si>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</si>
  <si>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</si>
  <si>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</si>
  <si>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</si>
  <si>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</si>
  <si>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</si>
  <si>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</si>
  <si>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</si>
  <si>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</si>
  <si>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</si>
  <si>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</si>
  <si>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</si>
  <si>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</si>
  <si>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</si>
  <si>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</si>
  <si>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</si>
  <si>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</si>
  <si>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</si>
  <si>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</si>
  <si>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</si>
  <si>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</si>
  <si>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</si>
  <si>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</si>
  <si>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</si>
  <si>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</si>
  <si>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</si>
  <si>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</si>
  <si>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</si>
  <si>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</si>
  <si>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</si>
  <si>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</si>
  <si>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</si>
  <si>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</si>
  <si>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</si>
  <si>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</si>
  <si>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</si>
  <si>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</si>
  <si>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</si>
  <si>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</si>
  <si>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</si>
  <si>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</si>
  <si>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</si>
  <si>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</si>
  <si>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</si>
  <si>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</si>
  <si>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</si>
  <si>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</si>
  <si>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</si>
  <si>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</si>
  <si>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</si>
  <si>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</si>
  <si>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</si>
  <si>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</si>
  <si>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</si>
  <si>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</si>
  <si>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</si>
  <si>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</si>
  <si>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</si>
  <si>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</si>
  <si>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</si>
  <si>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</si>
  <si>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</si>
  <si>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</si>
  <si>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</si>
  <si>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</si>
  <si>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</si>
  <si>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</si>
  <si>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</si>
  <si>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</si>
  <si>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</si>
  <si>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</si>
  <si>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</si>
  <si>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</si>
  <si>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</si>
  <si>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</si>
  <si>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</si>
  <si>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</si>
  <si>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</si>
  <si>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</si>
  <si>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</si>
  <si>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</si>
  <si>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</si>
  <si>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</si>
  <si>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</si>
  <si>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</si>
  <si>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</si>
  <si>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</si>
  <si>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</si>
  <si>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</si>
  <si>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</si>
  <si>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</si>
  <si>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</si>
  <si>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</si>
  <si>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</si>
  <si>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</si>
  <si>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</si>
  <si>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</si>
  <si>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</si>
  <si>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</si>
  <si>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</si>
  <si>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</si>
  <si>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</si>
  <si>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</si>
  <si>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</si>
  <si>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</si>
  <si>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</si>
  <si>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</si>
  <si>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</si>
  <si>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</si>
  <si>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</si>
  <si>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</si>
  <si>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</si>
  <si>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</si>
  <si>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</si>
  <si>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</si>
  <si>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</si>
  <si>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</si>
  <si>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</si>
  <si>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</si>
  <si>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</si>
  <si>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</si>
  <si>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</si>
  <si>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</si>
  <si>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</si>
  <si>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</si>
  <si>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</si>
  <si>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</si>
  <si>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</si>
  <si>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</si>
  <si>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</si>
  <si>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</si>
  <si>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</si>
  <si>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</si>
  <si>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</si>
  <si>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</si>
  <si>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</si>
  <si>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</si>
  <si>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</si>
  <si>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</si>
  <si>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</si>
  <si>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</si>
  <si>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</si>
  <si>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</si>
  <si>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</si>
  <si>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</si>
  <si>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</si>
  <si>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</si>
  <si>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</si>
  <si>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</si>
  <si>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</si>
  <si>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</si>
  <si>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</si>
  <si>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</si>
  <si>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</si>
  <si>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</si>
  <si>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</si>
  <si>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</si>
  <si>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</si>
  <si>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</si>
  <si>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</si>
  <si>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</si>
  <si>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</si>
  <si>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</si>
  <si>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</si>
  <si>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</si>
  <si>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</si>
  <si>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</si>
  <si>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</si>
  <si>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</si>
  <si>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</si>
  <si>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</si>
  <si>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</si>
  <si>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</si>
  <si>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</si>
  <si>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</si>
  <si>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</si>
  <si>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</si>
  <si>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</si>
  <si>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</si>
  <si>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</si>
  <si>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</si>
  <si>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</si>
  <si>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</si>
  <si>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</si>
  <si>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</si>
  <si>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</si>
  <si>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</si>
  <si>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</si>
  <si>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</si>
  <si>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</si>
  <si>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</si>
  <si>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</si>
  <si>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</si>
  <si>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</si>
  <si>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</si>
  <si>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</si>
  <si>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</si>
  <si>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</si>
  <si>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</si>
  <si>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</si>
  <si>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</si>
  <si>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</si>
  <si>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</si>
  <si>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</si>
  <si>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</si>
  <si>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</si>
  <si>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</si>
  <si>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</si>
  <si>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</si>
  <si>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</si>
  <si>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</si>
  <si>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</si>
  <si>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</si>
  <si>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</si>
  <si>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</si>
  <si>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</si>
  <si>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</si>
  <si>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</si>
  <si>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</si>
  <si>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</si>
  <si>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</si>
  <si>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</si>
  <si>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</si>
  <si>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</si>
  <si>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</si>
  <si>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</si>
  <si>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</si>
  <si>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</si>
  <si>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</si>
  <si>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</si>
  <si>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</si>
  <si>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</si>
  <si>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</si>
  <si>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</si>
  <si>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</si>
  <si>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</si>
  <si>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</si>
  <si>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</si>
  <si>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</si>
  <si>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</si>
  <si>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</si>
  <si>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</si>
  <si>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</si>
  <si>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</si>
  <si>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</si>
  <si>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</si>
  <si>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</si>
  <si>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</si>
  <si>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</si>
  <si>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</si>
  <si>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</si>
  <si>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</si>
  <si>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</si>
  <si>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</si>
  <si>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</si>
  <si>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</si>
  <si>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</si>
  <si>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</si>
  <si>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</si>
  <si>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</si>
  <si>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</si>
  <si>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</si>
  <si>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</si>
  <si>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</si>
  <si>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</si>
  <si>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</si>
  <si>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</si>
  <si>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</si>
  <si>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</si>
  <si>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</si>
  <si>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</si>
  <si>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</si>
  <si>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</si>
  <si>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</si>
  <si>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</si>
  <si>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</si>
  <si>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</si>
  <si>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</si>
  <si>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</si>
  <si>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</si>
  <si>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</si>
  <si>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</si>
  <si>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</si>
  <si>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</si>
  <si>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</si>
  <si>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</si>
  <si>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</si>
  <si>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</si>
  <si>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</si>
  <si>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</si>
  <si>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</si>
  <si>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</si>
  <si>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</si>
  <si>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</si>
  <si>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</si>
  <si>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</si>
  <si>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</si>
  <si>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</si>
  <si>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</si>
  <si>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</si>
  <si>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</si>
  <si>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</si>
  <si>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</si>
  <si>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</si>
  <si>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</si>
  <si>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</si>
  <si>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</si>
  <si>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</si>
  <si>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</si>
  <si>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</si>
  <si>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</si>
  <si>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</si>
  <si>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</si>
  <si>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</si>
  <si>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</si>
  <si>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</si>
  <si>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</si>
  <si>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</si>
  <si>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</si>
  <si>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</si>
  <si>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</si>
  <si>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</si>
  <si>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</si>
  <si>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</si>
  <si>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</si>
  <si>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</si>
  <si>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</si>
  <si>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</si>
  <si>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</si>
  <si>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</si>
  <si>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</si>
  <si>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</si>
  <si>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</si>
  <si>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</si>
  <si>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</si>
  <si>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</si>
  <si>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</si>
  <si>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</si>
  <si>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</si>
  <si>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</si>
  <si>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</si>
  <si>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</si>
  <si>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</si>
  <si>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</si>
  <si>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</si>
  <si>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</si>
  <si>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</si>
  <si>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</si>
  <si>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</si>
  <si>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</si>
  <si>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</si>
  <si>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</si>
  <si>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</si>
  <si>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</si>
  <si>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</si>
  <si>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</si>
  <si>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</si>
  <si>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</si>
  <si>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</si>
  <si>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</si>
  <si>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</si>
  <si>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</si>
  <si>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</si>
  <si>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</si>
  <si>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</si>
  <si>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</si>
  <si>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</si>
  <si>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</si>
  <si>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</si>
  <si>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</si>
  <si>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</si>
  <si>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</si>
  <si>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</si>
  <si>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</si>
  <si>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</si>
  <si>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</si>
  <si>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</si>
  <si>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</si>
  <si>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</si>
  <si>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</si>
  <si>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</si>
  <si>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</si>
  <si>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</si>
  <si>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</si>
  <si>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</si>
  <si>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</si>
  <si>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</si>
  <si>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</si>
  <si>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</si>
  <si>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</si>
  <si>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</si>
  <si>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</si>
  <si>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</si>
  <si>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</si>
  <si>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</si>
  <si>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</si>
  <si>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</si>
  <si>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</si>
  <si>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</si>
  <si>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</si>
  <si>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</si>
  <si>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</si>
  <si>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</si>
  <si>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</si>
  <si>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</si>
  <si>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</si>
  <si>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</si>
  <si>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</si>
  <si>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</si>
  <si>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</si>
  <si>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</si>
  <si>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</si>
  <si>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</si>
  <si>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</si>
  <si>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</si>
  <si>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</si>
  <si>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</si>
  <si>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</si>
  <si>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</si>
  <si>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</si>
  <si>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</si>
  <si>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</si>
  <si>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</si>
  <si>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</si>
  <si>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</si>
  <si>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</si>
  <si>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</si>
  <si>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</si>
  <si>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</si>
  <si>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</si>
  <si>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</si>
  <si>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</si>
  <si>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</si>
  <si>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</si>
  <si>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</si>
  <si>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</si>
  <si>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</si>
  <si>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</si>
  <si>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</si>
  <si>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</si>
  <si>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</si>
  <si>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</si>
  <si>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</si>
  <si>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</si>
  <si>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</si>
  <si>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</si>
  <si>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</si>
  <si>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</si>
  <si>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</si>
  <si>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</si>
  <si>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</si>
  <si>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</si>
  <si>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</si>
  <si>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</si>
  <si>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</si>
  <si>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</si>
  <si>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</si>
  <si>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</si>
  <si>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</si>
  <si>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</si>
  <si>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</si>
  <si>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</si>
  <si>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</si>
  <si>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</si>
  <si>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</si>
  <si>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</si>
  <si>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</si>
  <si>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</si>
  <si>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</si>
  <si>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</si>
  <si>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</si>
  <si>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</si>
  <si>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</si>
  <si>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</si>
  <si>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</si>
  <si>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</si>
  <si>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</si>
  <si>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</si>
  <si>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</si>
  <si>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</si>
  <si>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</si>
  <si>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</si>
  <si>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</si>
  <si>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</si>
  <si>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</si>
  <si>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</si>
  <si>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</si>
  <si>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</si>
  <si>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</si>
  <si>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</si>
  <si>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</si>
  <si>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</si>
  <si>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</si>
  <si>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</si>
  <si>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</si>
  <si>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</si>
  <si>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</si>
  <si>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</si>
  <si>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</si>
  <si>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</si>
  <si>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</si>
  <si>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</si>
  <si>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</si>
  <si>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</si>
  <si>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</si>
  <si>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</si>
  <si>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</si>
  <si>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</si>
  <si>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</si>
  <si>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</si>
  <si>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</si>
  <si>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</si>
  <si>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</si>
  <si>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</si>
  <si>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</si>
  <si>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</si>
  <si>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</si>
  <si>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</si>
  <si>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</si>
  <si>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</si>
  <si>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</si>
  <si>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</si>
  <si>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</si>
  <si>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</si>
  <si>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</si>
  <si>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</si>
  <si>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</si>
  <si>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</si>
  <si>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</si>
  <si>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</si>
  <si>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</si>
  <si>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</si>
  <si>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</si>
  <si>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</si>
  <si>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</si>
  <si>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</si>
  <si>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</si>
  <si>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</si>
  <si>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</si>
  <si>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</si>
  <si>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</si>
  <si>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</si>
  <si>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</si>
  <si>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</si>
  <si>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</si>
  <si>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</si>
  <si>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</si>
  <si>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</si>
  <si>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</si>
  <si>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</si>
  <si>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</si>
  <si>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</si>
  <si>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</si>
  <si>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</si>
  <si>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</si>
  <si>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</si>
  <si>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</si>
  <si>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</si>
  <si>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</si>
  <si>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</si>
  <si>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</si>
  <si>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</si>
  <si>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</si>
  <si>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</si>
  <si>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</si>
  <si>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</si>
  <si>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</si>
  <si>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</si>
  <si>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</si>
  <si>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</si>
  <si>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</si>
  <si>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</si>
  <si>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</si>
  <si>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</si>
  <si>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</si>
  <si>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</si>
  <si>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</si>
  <si>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</si>
  <si>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</si>
  <si>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</si>
  <si>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</si>
  <si>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</si>
  <si>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</si>
  <si>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</si>
  <si>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</si>
  <si>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</si>
  <si>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</si>
  <si>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</si>
  <si>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</si>
  <si>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</si>
  <si>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</si>
  <si>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</si>
  <si>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</si>
  <si>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</si>
  <si>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</si>
  <si>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</si>
  <si>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</si>
  <si>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</si>
  <si>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</si>
  <si>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</si>
  <si>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</si>
  <si>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</si>
  <si>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</si>
  <si>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</si>
  <si>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</si>
  <si>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</si>
  <si>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</si>
  <si>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</si>
  <si>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</si>
  <si>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</si>
  <si>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</si>
  <si>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</si>
  <si>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</si>
  <si>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</si>
  <si>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</si>
  <si>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</si>
  <si>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</si>
  <si>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</si>
  <si>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</si>
  <si>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</si>
  <si>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</si>
  <si>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</si>
  <si>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</si>
  <si>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</si>
  <si>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</si>
  <si>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</si>
  <si>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</si>
  <si>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</si>
  <si>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</si>
  <si>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</si>
  <si>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</si>
  <si>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</si>
  <si>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</si>
  <si>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</si>
  <si>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</si>
  <si>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</si>
  <si>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</si>
  <si>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</si>
  <si>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</si>
  <si>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</si>
  <si>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</si>
  <si>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</si>
  <si>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</si>
  <si>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</si>
  <si>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</si>
  <si>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</si>
  <si>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</si>
  <si>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</si>
  <si>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</si>
  <si>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</si>
  <si>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</si>
  <si>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</si>
  <si>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</si>
  <si>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</si>
  <si>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</si>
  <si>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</si>
  <si>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</si>
  <si>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</si>
  <si>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</si>
  <si>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</si>
  <si>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</si>
  <si>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</si>
  <si>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</si>
  <si>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</si>
  <si>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</si>
  <si>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</si>
  <si>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</si>
  <si>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</si>
  <si>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</si>
  <si>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</si>
  <si>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</si>
  <si>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</si>
  <si>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</si>
  <si>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</si>
  <si>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</si>
  <si>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</si>
  <si>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</si>
  <si>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</si>
  <si>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</si>
  <si>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</si>
  <si>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</si>
  <si>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</si>
  <si>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</si>
  <si>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</si>
  <si>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</si>
  <si>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</si>
  <si>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</si>
  <si>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</si>
  <si>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</si>
  <si>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</si>
  <si>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</si>
  <si>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</si>
  <si>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</si>
  <si>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</si>
  <si>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</si>
  <si>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</si>
  <si>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</si>
  <si>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</si>
  <si>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</si>
  <si>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</si>
  <si>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</si>
  <si>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</si>
  <si>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</si>
  <si>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</si>
  <si>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</si>
  <si>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</si>
  <si>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</si>
  <si>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</si>
  <si>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</si>
  <si>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</si>
  <si>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</si>
  <si>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</si>
  <si>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</si>
  <si>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</si>
  <si>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</si>
  <si>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</si>
  <si>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</si>
  <si>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</si>
  <si>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</si>
  <si>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</si>
  <si>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</si>
  <si>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</si>
  <si>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</si>
  <si>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</si>
  <si>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</si>
  <si>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</si>
  <si>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</si>
  <si>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</si>
  <si>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</si>
  <si>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</si>
  <si>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</si>
  <si>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</si>
  <si>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</si>
  <si>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</si>
  <si>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</si>
  <si>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</si>
  <si>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</si>
  <si>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</si>
  <si>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</si>
  <si>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</si>
  <si>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</si>
  <si>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</si>
  <si>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</si>
  <si>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</si>
  <si>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</si>
  <si>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</si>
  <si>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</si>
  <si>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</si>
  <si>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</si>
  <si>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</si>
  <si>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</si>
  <si>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</si>
  <si>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</si>
  <si>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</si>
  <si>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</si>
  <si>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</si>
  <si>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</si>
  <si>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</si>
  <si>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</si>
  <si>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</si>
  <si>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</si>
  <si>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</si>
  <si>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</si>
  <si>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</si>
  <si>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</si>
  <si>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</si>
  <si>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</si>
  <si>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</si>
  <si>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</si>
  <si>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</si>
  <si>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</si>
  <si>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</si>
  <si>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</si>
  <si>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</si>
  <si>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</si>
  <si>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</si>
  <si>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</si>
  <si>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</si>
  <si>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</si>
  <si>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</si>
  <si>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</si>
  <si>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</si>
  <si>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</si>
  <si>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</si>
  <si>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</si>
  <si>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</si>
  <si>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</si>
  <si>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</si>
  <si>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</si>
  <si>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</si>
  <si>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</si>
  <si>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</si>
  <si>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</si>
  <si>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</si>
  <si>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</si>
  <si>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</si>
  <si>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</si>
  <si>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</si>
  <si>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</si>
  <si>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</si>
  <si>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</si>
  <si>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</si>
  <si>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</si>
  <si>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</si>
  <si>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</si>
  <si>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</si>
  <si>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</si>
  <si>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</si>
  <si>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</si>
  <si>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</si>
  <si>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</si>
  <si>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</si>
  <si>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</si>
  <si>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</si>
  <si>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</si>
  <si>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</si>
  <si>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</si>
  <si>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</si>
  <si>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</si>
  <si>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</si>
  <si>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</si>
  <si>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</si>
  <si>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</si>
  <si>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</si>
  <si>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</si>
  <si>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</si>
  <si>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</si>
  <si>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</si>
  <si>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</si>
  <si>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</si>
  <si>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</si>
  <si>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</si>
  <si>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</si>
  <si>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</si>
  <si>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</si>
  <si>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</si>
  <si>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</si>
  <si>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</si>
  <si>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</si>
  <si>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</si>
  <si>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</si>
  <si>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</si>
  <si>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</si>
  <si>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</si>
  <si>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</si>
  <si>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</si>
  <si>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</si>
  <si>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</si>
  <si>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</si>
  <si>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</si>
  <si>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</si>
  <si>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</si>
  <si>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</si>
  <si>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</si>
  <si>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</si>
  <si>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</si>
  <si>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</si>
  <si>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</si>
  <si>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</si>
  <si>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</si>
  <si>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</si>
  <si>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</si>
  <si>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</si>
  <si>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</si>
  <si>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</si>
  <si>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</si>
  <si>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</si>
  <si>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</si>
  <si>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</si>
  <si>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</si>
  <si>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</si>
  <si>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</si>
  <si>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</si>
  <si>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</si>
  <si>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</si>
  <si>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</si>
  <si>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</si>
  <si>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</si>
  <si>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</si>
  <si>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</si>
  <si>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</si>
  <si>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</si>
  <si>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</si>
  <si>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</si>
  <si>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</si>
  <si>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</si>
  <si>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</si>
  <si>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</si>
  <si>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</si>
  <si>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</si>
  <si>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</si>
  <si>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</si>
  <si>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</si>
  <si>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</si>
  <si>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</si>
  <si>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</si>
  <si>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</si>
  <si>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</si>
  <si>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</si>
  <si>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</si>
  <si>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</si>
  <si>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</si>
  <si>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</si>
  <si>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</si>
  <si>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</si>
  <si>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</si>
  <si>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</si>
  <si>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</si>
  <si>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</si>
  <si>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</si>
  <si>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</si>
  <si>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</si>
  <si>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</si>
  <si>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</si>
  <si>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</si>
  <si>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</si>
  <si>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</si>
  <si>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</si>
  <si>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</si>
  <si>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</si>
  <si>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</si>
  <si>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</si>
  <si>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</si>
  <si>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</si>
  <si>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</si>
  <si>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</si>
  <si>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</si>
  <si>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</si>
  <si>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</si>
  <si>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</si>
  <si>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</si>
  <si>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</si>
  <si>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</si>
  <si>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</si>
  <si>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</si>
  <si>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</si>
  <si>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</si>
  <si>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</si>
  <si>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</si>
  <si>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</si>
  <si>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</si>
  <si>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</si>
  <si>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</si>
  <si>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</si>
  <si>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</si>
  <si>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</si>
  <si>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</si>
  <si>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</si>
  <si>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</si>
  <si>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</si>
  <si>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</si>
  <si>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</si>
  <si>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</si>
  <si>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</si>
  <si>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</si>
  <si>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</si>
  <si>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</si>
  <si>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</si>
  <si>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</si>
  <si>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</si>
  <si>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</si>
  <si>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</si>
  <si>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</si>
  <si>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</si>
  <si>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</si>
  <si>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</si>
  <si>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</si>
  <si>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</si>
  <si>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</si>
  <si>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</si>
  <si>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</si>
  <si>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</si>
  <si>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</si>
  <si>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</si>
  <si>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</si>
  <si>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</si>
  <si>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</si>
  <si>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</si>
  <si>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</si>
  <si>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</si>
  <si>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</si>
  <si>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</si>
  <si>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</si>
  <si>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</si>
  <si>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</si>
  <si>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</si>
  <si>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</si>
  <si>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</si>
  <si>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</si>
  <si>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</si>
  <si>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</si>
  <si>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</si>
  <si>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</si>
  <si>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</si>
  <si>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</si>
  <si>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</si>
  <si>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</si>
  <si>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</si>
  <si>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</si>
  <si>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</si>
  <si>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</si>
  <si>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</si>
  <si>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</si>
  <si>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</si>
  <si>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</si>
  <si>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</si>
  <si>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</si>
  <si>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</si>
  <si>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</si>
  <si>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</si>
  <si>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</si>
  <si>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</si>
  <si>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</si>
  <si>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</si>
  <si>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</si>
  <si>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</si>
  <si>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</si>
  <si>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</si>
  <si>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</si>
  <si>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</si>
  <si>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</si>
  <si>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</si>
  <si>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</si>
  <si>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</si>
  <si>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</si>
  <si>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</si>
  <si>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</si>
  <si>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</si>
  <si>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</si>
  <si>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</si>
  <si>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</si>
  <si>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</si>
  <si>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</si>
  <si>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</si>
  <si>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</si>
  <si>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</si>
  <si>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</si>
  <si>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</si>
  <si>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</si>
  <si>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</si>
  <si>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</si>
  <si>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</si>
  <si>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</si>
  <si>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</si>
  <si>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</si>
  <si>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</si>
  <si>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</si>
  <si>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</si>
  <si>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</si>
  <si>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</si>
  <si>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</si>
  <si>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</si>
  <si>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</si>
  <si>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</si>
  <si>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</si>
  <si>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</si>
  <si>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</si>
  <si>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</si>
  <si>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</si>
  <si>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</si>
  <si>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</si>
  <si>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</si>
  <si>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</si>
  <si>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</si>
  <si>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</si>
  <si>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</si>
  <si>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</si>
  <si>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</si>
  <si>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</si>
  <si>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</si>
  <si>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</si>
  <si>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</si>
  <si>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</si>
  <si>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</si>
  <si>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</si>
  <si>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</si>
  <si>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</si>
  <si>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</si>
  <si>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</si>
  <si>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</si>
  <si>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</si>
  <si>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</si>
  <si>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</si>
  <si>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</si>
  <si>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</si>
  <si>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</si>
  <si>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</si>
  <si>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</si>
  <si>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</si>
  <si>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</si>
  <si>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</si>
  <si>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</si>
  <si>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</si>
  <si>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</si>
  <si>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</si>
  <si>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</si>
  <si>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</si>
  <si>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</si>
  <si>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</si>
  <si>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</si>
  <si>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</si>
  <si>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</si>
  <si>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</si>
  <si>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</si>
  <si>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</si>
  <si>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</si>
  <si>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</si>
  <si>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</si>
  <si>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</si>
  <si>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</si>
  <si>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</si>
  <si>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</si>
  <si>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</si>
  <si>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</si>
  <si>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</si>
  <si>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</si>
  <si>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</si>
  <si>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</si>
  <si>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</si>
  <si>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</si>
  <si>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</si>
  <si>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</si>
  <si>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</si>
  <si>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</si>
  <si>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</si>
  <si>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</si>
  <si>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</si>
  <si>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</si>
  <si>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</si>
  <si>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</si>
  <si>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</si>
  <si>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</si>
  <si>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</si>
  <si>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</si>
  <si>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</si>
  <si>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</si>
  <si>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</si>
  <si>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</si>
  <si>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</si>
  <si>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</si>
  <si>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</si>
  <si>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</si>
  <si>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</si>
  <si>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</si>
  <si>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</si>
  <si>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</si>
  <si>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</si>
  <si>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</si>
  <si>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</si>
  <si>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</si>
  <si>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</si>
  <si>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</si>
  <si>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</si>
  <si>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</si>
  <si>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</si>
  <si>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</si>
  <si>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</si>
  <si>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</si>
  <si>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</si>
  <si>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</si>
  <si>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</si>
  <si>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</si>
  <si>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</si>
  <si>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</si>
  <si>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</si>
  <si>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</si>
  <si>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</si>
  <si>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</si>
  <si>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</si>
  <si>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</si>
  <si>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</si>
  <si>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</si>
  <si>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</si>
  <si>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</si>
  <si>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</si>
  <si>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</si>
  <si>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</si>
  <si>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</si>
  <si>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</si>
  <si>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</si>
  <si>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</si>
  <si>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</si>
  <si>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</si>
  <si>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</si>
  <si>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</si>
  <si>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</si>
  <si>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</si>
  <si>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</si>
  <si>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</si>
  <si>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</si>
  <si>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</si>
  <si>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</si>
  <si>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</si>
  <si>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</si>
  <si>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</si>
  <si>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</si>
  <si>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</si>
  <si>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</si>
  <si>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</si>
  <si>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</si>
  <si>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</si>
  <si>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</si>
  <si>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</si>
  <si>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</si>
  <si>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</si>
  <si>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</si>
  <si>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</si>
  <si>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</si>
  <si>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</si>
  <si>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</si>
  <si>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</si>
  <si>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</si>
  <si>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</si>
  <si>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</si>
  <si>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</si>
  <si>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</si>
  <si>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</si>
  <si>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</si>
  <si>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</si>
  <si>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</si>
  <si>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</si>
  <si>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</si>
  <si>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</si>
  <si>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</si>
  <si>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</si>
  <si>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</si>
  <si>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</si>
  <si>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</si>
  <si>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</si>
  <si>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</si>
  <si>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</si>
  <si>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</si>
  <si>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</si>
  <si>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</si>
  <si>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</si>
  <si>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</si>
  <si>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</si>
  <si>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</si>
  <si>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</si>
  <si>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</si>
  <si>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</si>
  <si>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</si>
  <si>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</si>
  <si>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</si>
  <si>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</si>
  <si>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</si>
  <si>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</si>
  <si>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</si>
  <si>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</si>
  <si>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</si>
  <si>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</si>
  <si>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</si>
  <si>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</si>
  <si>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</si>
  <si>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</si>
  <si>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</si>
  <si>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</si>
  <si>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</si>
  <si>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</si>
  <si>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</si>
  <si>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</si>
  <si>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</si>
  <si>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</si>
  <si>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</si>
  <si>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</si>
  <si>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</si>
  <si>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</si>
  <si>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</si>
  <si>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</si>
  <si>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</si>
  <si>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</si>
  <si>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</si>
  <si>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</si>
  <si>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</si>
  <si>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</si>
  <si>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</si>
  <si>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</si>
  <si>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</si>
  <si>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</si>
  <si>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</si>
  <si>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</si>
  <si>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</si>
  <si>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</si>
  <si>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</si>
  <si>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</si>
  <si>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</si>
  <si>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</si>
  <si>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</si>
  <si>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</si>
  <si>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</si>
  <si>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</si>
  <si>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</si>
  <si>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</si>
  <si>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</si>
  <si>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</si>
  <si>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</si>
  <si>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</si>
  <si>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</si>
  <si>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</si>
  <si>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</si>
  <si>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</si>
  <si>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</si>
  <si>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</si>
  <si>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</si>
  <si>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</si>
  <si>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</si>
  <si>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</si>
  <si>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</si>
  <si>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</si>
  <si>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</si>
  <si>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</si>
  <si>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</si>
  <si>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</si>
  <si>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</si>
  <si>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</si>
  <si>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</si>
  <si>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</si>
  <si>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</si>
  <si>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</si>
  <si>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</si>
  <si>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</si>
  <si>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</si>
  <si>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</si>
  <si>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</si>
  <si>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</si>
  <si>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</si>
  <si>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</si>
  <si>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</si>
  <si>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</si>
  <si>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</si>
  <si>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</si>
  <si>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</si>
  <si>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</si>
  <si>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</si>
  <si>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</si>
  <si>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</si>
  <si>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</si>
  <si>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</si>
  <si>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</si>
  <si>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</si>
  <si>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</si>
  <si>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</si>
  <si>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</si>
  <si>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</si>
  <si>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</si>
  <si>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</si>
  <si>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</si>
  <si>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</si>
  <si>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</si>
  <si>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</si>
  <si>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</si>
  <si>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</si>
  <si>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</si>
  <si>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</si>
  <si>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</si>
  <si>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</si>
  <si>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</si>
  <si>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</si>
  <si>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</si>
  <si>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</si>
  <si>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</si>
  <si>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</si>
  <si>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</si>
  <si>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</si>
  <si>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</si>
  <si>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</si>
  <si>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</si>
  <si>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</si>
  <si>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</si>
  <si>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</si>
  <si>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</si>
  <si>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</si>
  <si>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</si>
  <si>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</si>
  <si>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</si>
  <si>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</si>
  <si>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</si>
  <si>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</si>
  <si>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</si>
  <si>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</si>
  <si>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</si>
  <si>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</si>
  <si>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</si>
  <si>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</si>
  <si>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</si>
  <si>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</si>
  <si>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</si>
  <si>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</si>
  <si>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</si>
  <si>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</si>
  <si>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</si>
  <si>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</si>
  <si>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</si>
  <si>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</si>
  <si>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</si>
  <si>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</si>
  <si>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</si>
  <si>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</si>
  <si>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</si>
  <si>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</si>
  <si>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</si>
  <si>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</si>
  <si>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</si>
  <si>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</si>
  <si>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</si>
  <si>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</si>
  <si>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</si>
  <si>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</si>
  <si>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</si>
  <si>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</si>
  <si>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</si>
  <si>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</si>
  <si>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</si>
  <si>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</si>
  <si>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</si>
  <si>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</si>
  <si>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</si>
  <si>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</si>
  <si>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</si>
  <si>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</si>
  <si>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</si>
  <si>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</si>
  <si>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</si>
  <si>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</si>
  <si>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</si>
  <si>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</si>
  <si>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</si>
  <si>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</si>
  <si>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</si>
  <si>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</si>
  <si>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</si>
  <si>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</si>
  <si>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</si>
  <si>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</si>
  <si>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</si>
  <si>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</si>
  <si>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</si>
  <si>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</si>
  <si>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</si>
  <si>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</si>
  <si>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</si>
  <si>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</si>
  <si>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</si>
  <si>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</si>
  <si>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</si>
  <si>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</si>
  <si>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</si>
  <si>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</si>
  <si>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</si>
  <si>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</si>
  <si>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</si>
  <si>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</si>
  <si>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</si>
  <si>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</si>
  <si>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</si>
  <si>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</si>
  <si>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</si>
  <si>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</si>
  <si>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</si>
  <si>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</si>
  <si>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</si>
  <si>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</si>
  <si>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</si>
  <si>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</si>
  <si>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</si>
  <si>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</si>
  <si>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</si>
  <si>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</si>
  <si>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</si>
  <si>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</si>
  <si>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</si>
  <si>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</si>
  <si>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</si>
  <si>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</si>
  <si>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</si>
  <si>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</si>
  <si>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</si>
  <si>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</si>
  <si>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</si>
  <si>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</si>
  <si>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</si>
  <si>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</si>
  <si>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</si>
  <si>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</si>
  <si>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</si>
  <si>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</si>
  <si>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</si>
  <si>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</si>
  <si>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</si>
  <si>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</si>
  <si>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</si>
  <si>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</si>
  <si>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</si>
  <si>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</si>
  <si>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</si>
  <si>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</si>
  <si>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</si>
  <si>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</si>
  <si>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</si>
  <si>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</si>
  <si>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</si>
  <si>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</si>
  <si>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</si>
  <si>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</si>
  <si>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</si>
  <si>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</si>
  <si>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</si>
  <si>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</si>
  <si>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</si>
  <si>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</si>
  <si>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</si>
  <si>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</si>
  <si>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</si>
  <si>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</si>
  <si>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</si>
  <si>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</si>
  <si>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</si>
  <si>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</si>
  <si>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</si>
  <si>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</si>
  <si>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</si>
  <si>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</si>
  <si>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</si>
  <si>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</si>
  <si>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</si>
  <si>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</si>
  <si>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</si>
  <si>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</si>
  <si>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</si>
  <si>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</si>
  <si>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</si>
  <si>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</si>
  <si>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</si>
  <si>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</si>
  <si>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</si>
  <si>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</si>
  <si>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</si>
  <si>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</si>
  <si>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</si>
  <si>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</si>
  <si>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</si>
  <si>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</si>
  <si>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</si>
  <si>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</si>
  <si>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</si>
  <si>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</si>
  <si>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</si>
  <si>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</si>
  <si>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</si>
  <si>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</si>
  <si>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</si>
  <si>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</si>
  <si>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</si>
  <si>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</si>
  <si>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</si>
  <si>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</si>
  <si>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</si>
  <si>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</si>
  <si>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</si>
  <si>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</si>
  <si>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</si>
  <si>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</si>
  <si>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</si>
  <si>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</si>
  <si>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</si>
  <si>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</si>
  <si>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</si>
  <si>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</si>
  <si>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</si>
  <si>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</si>
  <si>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</si>
  <si>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</si>
  <si>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</si>
  <si>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</si>
  <si>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</si>
  <si>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</si>
  <si>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</si>
  <si>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</si>
  <si>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</si>
  <si>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</si>
  <si>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</si>
  <si>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</si>
  <si>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</si>
  <si>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</si>
  <si>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</si>
  <si>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</si>
  <si>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</si>
  <si>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</si>
  <si>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</si>
  <si>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</si>
  <si>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</si>
  <si>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</si>
  <si>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</si>
  <si>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</si>
  <si>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</si>
  <si>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</si>
  <si>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</si>
  <si>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</si>
  <si>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</si>
  <si>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</si>
  <si>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</si>
  <si>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</si>
  <si>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</si>
  <si>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</si>
  <si>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</si>
  <si>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</si>
  <si>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</si>
  <si>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</si>
  <si>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</si>
  <si>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</si>
  <si>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</si>
  <si>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</si>
  <si>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</si>
  <si>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</si>
  <si>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</si>
  <si>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</si>
  <si>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</si>
  <si>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</si>
  <si>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</si>
  <si>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</si>
  <si>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</si>
  <si>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</si>
  <si>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</si>
  <si>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</si>
  <si>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</si>
  <si>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</si>
  <si>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</si>
  <si>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</si>
  <si>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</si>
  <si>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</si>
  <si>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</si>
  <si>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</si>
  <si>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</si>
  <si>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</si>
  <si>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</si>
  <si>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</si>
  <si>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</si>
  <si>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</si>
  <si>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</si>
  <si>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</si>
  <si>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</si>
  <si>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</si>
  <si>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</si>
  <si>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</si>
  <si>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</si>
  <si>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</si>
  <si>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</si>
  <si>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</si>
  <si>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</si>
  <si>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</si>
  <si>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</si>
  <si>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</si>
  <si>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</si>
  <si>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</si>
  <si>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</si>
  <si>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</si>
  <si>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</si>
  <si>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</si>
  <si>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</si>
  <si>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</si>
  <si>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</si>
  <si>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</si>
  <si>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</si>
  <si>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</si>
  <si>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</si>
  <si>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</si>
  <si>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</si>
  <si>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</si>
  <si>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</si>
  <si>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</si>
  <si>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</si>
  <si>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</si>
  <si>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</si>
  <si>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</si>
  <si>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</si>
  <si>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</si>
  <si>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</si>
  <si>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</si>
  <si>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</si>
  <si>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</si>
  <si>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</si>
  <si>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</si>
  <si>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</si>
  <si>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</si>
  <si>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</si>
  <si>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</si>
  <si>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</si>
  <si>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</si>
  <si>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</si>
  <si>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</si>
  <si>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</si>
  <si>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</si>
  <si>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</si>
  <si>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</si>
  <si>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</si>
  <si>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</si>
  <si>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</si>
  <si>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</si>
  <si>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</si>
  <si>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</si>
  <si>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</si>
  <si>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</si>
  <si>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</si>
  <si>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</si>
  <si>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</si>
  <si>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</si>
  <si>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</si>
  <si>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</si>
  <si>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</si>
  <si>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</si>
  <si>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</si>
  <si>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</si>
  <si>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</si>
  <si>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</si>
  <si>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</si>
  <si>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</si>
  <si>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</si>
  <si>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</si>
  <si>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</si>
  <si>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</si>
  <si>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</si>
  <si>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</si>
  <si>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</si>
  <si>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</si>
  <si>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</si>
  <si>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</si>
  <si>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</si>
  <si>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</si>
  <si>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</si>
  <si>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</si>
  <si>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</si>
  <si>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</si>
  <si>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</si>
  <si>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</si>
  <si>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</si>
  <si>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</si>
  <si>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</si>
  <si>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</si>
  <si>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</si>
  <si>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</si>
  <si>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</si>
  <si>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</si>
  <si>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</si>
  <si>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</si>
  <si>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</si>
  <si>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</si>
  <si>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</si>
  <si>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</si>
  <si>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</si>
  <si>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</si>
  <si>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</si>
  <si>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</si>
  <si>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</si>
  <si>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</si>
  <si>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</si>
  <si>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</si>
  <si>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</si>
  <si>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</si>
  <si>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</si>
  <si>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</si>
  <si>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</si>
  <si>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</si>
  <si>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</si>
  <si>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</si>
  <si>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</si>
  <si>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</si>
  <si>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</si>
  <si>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</si>
  <si>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</si>
  <si>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</si>
  <si>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</si>
  <si>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</si>
  <si>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</si>
  <si>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</si>
  <si>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</si>
  <si>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</si>
  <si>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</si>
  <si>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</si>
  <si>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</si>
  <si>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</si>
  <si>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</si>
  <si>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</si>
  <si>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</si>
  <si>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</si>
  <si>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</si>
  <si>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</si>
  <si>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</si>
  <si>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</si>
  <si>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</si>
  <si>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</si>
  <si>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</si>
  <si>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</si>
  <si>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</si>
  <si>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</si>
  <si>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</si>
  <si>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</si>
  <si>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</si>
  <si>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</si>
  <si>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</si>
  <si>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</si>
  <si>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</si>
  <si>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</si>
  <si>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</si>
  <si>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</si>
  <si>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</si>
  <si>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</si>
  <si>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</si>
  <si>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</si>
  <si>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</si>
  <si>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</si>
  <si>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</si>
  <si>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</si>
  <si>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</si>
  <si>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</si>
  <si>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</si>
  <si>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</si>
  <si>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</si>
  <si>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</si>
  <si>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</si>
  <si>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</si>
  <si>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</si>
  <si>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</si>
  <si>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</si>
  <si>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</si>
  <si>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</si>
  <si>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</si>
  <si>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</si>
  <si>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</si>
  <si>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</si>
  <si>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</si>
  <si>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</si>
  <si>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</si>
  <si>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</si>
  <si>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</si>
  <si>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</si>
  <si>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</si>
  <si>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</si>
  <si>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</si>
  <si>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</si>
  <si>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</si>
  <si>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</si>
  <si>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</si>
  <si>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</si>
  <si>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</si>
  <si>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</si>
  <si>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</si>
  <si>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</si>
  <si>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</si>
  <si>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</si>
  <si>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</si>
  <si>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</si>
  <si>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</si>
  <si>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</si>
  <si>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</si>
  <si>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</si>
  <si>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</si>
  <si>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</si>
  <si>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</si>
  <si>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</si>
  <si>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</si>
  <si>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</si>
  <si>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</si>
  <si>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</si>
  <si>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</si>
  <si>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</si>
  <si>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</si>
  <si>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</si>
  <si>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</si>
  <si>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</si>
  <si>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</si>
  <si>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</si>
  <si>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</si>
  <si>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</si>
  <si>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</si>
  <si>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</si>
  <si>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</si>
  <si>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</si>
  <si>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</si>
  <si>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</si>
  <si>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</si>
  <si>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</si>
  <si>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</si>
  <si>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</si>
  <si>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</si>
  <si>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</si>
  <si>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</si>
  <si>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</si>
  <si>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</si>
  <si>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</si>
  <si>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</si>
  <si>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</si>
  <si>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</si>
  <si>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</si>
  <si>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</si>
  <si>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</si>
  <si>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</si>
  <si>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</si>
  <si>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</si>
  <si>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</si>
  <si>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</si>
  <si>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</si>
  <si>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</si>
  <si>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</si>
  <si>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</si>
  <si>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</si>
  <si>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</si>
  <si>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</si>
  <si>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</si>
  <si>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</si>
  <si>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</si>
  <si>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</si>
  <si>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</si>
  <si>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</si>
  <si>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</si>
  <si>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</si>
  <si>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</si>
  <si>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</si>
  <si>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</si>
  <si>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</si>
  <si>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</si>
  <si>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</si>
  <si>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</si>
  <si>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</si>
  <si>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</si>
  <si>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</si>
  <si>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</si>
  <si>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</si>
  <si>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</si>
  <si>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</si>
  <si>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</si>
  <si>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</si>
  <si>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</si>
  <si>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</si>
  <si>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</si>
  <si>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</si>
  <si>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</si>
  <si>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</si>
  <si>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</si>
  <si>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</si>
  <si>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</si>
  <si>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</si>
  <si>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</si>
  <si>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</si>
  <si>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</si>
  <si>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</si>
  <si>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</si>
  <si>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</si>
  <si>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</si>
  <si>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</si>
  <si>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</si>
  <si>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</si>
  <si>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</si>
  <si>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</si>
  <si>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</si>
  <si>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</si>
  <si>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</si>
  <si>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</si>
  <si>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</si>
  <si>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</si>
  <si>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</si>
  <si>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</si>
  <si>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</si>
  <si>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</si>
  <si>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</si>
  <si>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</si>
  <si>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</si>
  <si>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</si>
  <si>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</si>
  <si>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</si>
  <si>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</si>
  <si>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</si>
  <si>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</si>
  <si>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</si>
  <si>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</si>
  <si>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</si>
  <si>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</si>
  <si>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</si>
  <si>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</si>
  <si>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</si>
  <si>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</si>
  <si>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</si>
  <si>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</si>
  <si>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</si>
  <si>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</si>
  <si>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</si>
  <si>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</si>
  <si>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</si>
  <si>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</si>
  <si>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</si>
  <si>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</si>
  <si>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</si>
  <si>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</si>
  <si>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</si>
  <si>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</si>
  <si>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</si>
  <si>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</si>
  <si>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</si>
  <si>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</si>
  <si>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</si>
  <si>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</si>
  <si>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</si>
  <si>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</si>
  <si>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</si>
  <si>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</si>
  <si>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</si>
  <si>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</si>
  <si>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</si>
  <si>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</si>
  <si>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</si>
  <si>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</si>
  <si>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</si>
  <si>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</si>
  <si>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</si>
  <si>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</si>
  <si>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</si>
  <si>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</si>
  <si>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</si>
  <si>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</si>
  <si>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</si>
  <si>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</si>
  <si>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</si>
  <si>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</si>
  <si>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</si>
  <si>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</si>
  <si>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</si>
  <si>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</si>
  <si>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</si>
  <si>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</si>
  <si>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</si>
  <si>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</si>
  <si>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</si>
  <si>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</si>
  <si>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</si>
  <si>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</si>
  <si>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</si>
  <si>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</si>
  <si>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</si>
  <si>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</si>
  <si>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</si>
  <si>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</si>
  <si>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</si>
  <si>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</si>
  <si>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</si>
  <si>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</si>
  <si>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</si>
  <si>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</si>
  <si>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</si>
  <si>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</si>
  <si>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</si>
  <si>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</si>
  <si>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</si>
  <si>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</si>
  <si>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</si>
  <si>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</si>
  <si>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</si>
  <si>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</si>
  <si>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</si>
  <si>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</si>
  <si>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</si>
  <si>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</si>
  <si>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</si>
  <si>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</si>
  <si>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</si>
  <si>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</si>
  <si>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</si>
  <si>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</si>
  <si>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</si>
  <si>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</si>
  <si>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</si>
  <si>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</si>
  <si>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</si>
  <si>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</si>
  <si>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</si>
  <si>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</si>
  <si>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</si>
  <si>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</si>
  <si>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</si>
  <si>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</si>
  <si>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</si>
  <si>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</si>
  <si>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</si>
  <si>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</si>
  <si>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</si>
  <si>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</si>
  <si>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</si>
  <si>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</si>
  <si>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</si>
  <si>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</si>
  <si>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</si>
  <si>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</si>
  <si>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</si>
  <si>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</si>
  <si>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</si>
  <si>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</si>
  <si>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</si>
  <si>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</si>
  <si>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</si>
  <si>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</si>
  <si>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</si>
  <si>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</si>
  <si>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</si>
  <si>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</si>
  <si>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</si>
  <si>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</si>
  <si>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</si>
  <si>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</si>
  <si>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</si>
  <si>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</si>
  <si>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</si>
  <si>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</si>
  <si>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</si>
  <si>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</si>
  <si>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</si>
  <si>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</si>
  <si>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</si>
  <si>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</si>
  <si>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</si>
  <si>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</si>
  <si>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</si>
  <si>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</si>
  <si>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</si>
  <si>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</si>
  <si>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</si>
  <si>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</si>
  <si>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</si>
  <si>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</si>
  <si>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</si>
  <si>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</si>
  <si>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</si>
  <si>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</si>
  <si>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</si>
  <si>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</si>
  <si>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</si>
  <si>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</si>
  <si>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</si>
  <si>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</si>
  <si>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</si>
  <si>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</si>
  <si>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</si>
  <si>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</si>
  <si>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</si>
  <si>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</si>
  <si>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</si>
  <si>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</si>
  <si>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</si>
  <si>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</si>
  <si>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</si>
  <si>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</si>
  <si>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</si>
  <si>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</si>
  <si>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</si>
  <si>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</si>
  <si>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</si>
  <si>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</si>
  <si>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</si>
  <si>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</si>
  <si>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</si>
  <si>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</si>
  <si>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</si>
  <si>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</si>
  <si>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</si>
  <si>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</si>
  <si>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</si>
  <si>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</si>
  <si>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</si>
  <si>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</si>
  <si>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</si>
  <si>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</si>
  <si>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</si>
  <si>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</si>
  <si>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</si>
  <si>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</si>
  <si>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</si>
  <si>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</si>
  <si>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</si>
  <si>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</si>
  <si>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</si>
  <si>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</si>
  <si>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</si>
  <si>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</si>
  <si>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</si>
  <si>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</si>
  <si>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</si>
  <si>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</si>
  <si>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</si>
  <si>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</si>
  <si>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</si>
  <si>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</si>
  <si>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</si>
  <si>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</si>
  <si>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</si>
  <si>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</si>
  <si>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</si>
  <si>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</si>
  <si>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</si>
  <si>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</si>
  <si>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</si>
  <si>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</si>
  <si>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</si>
  <si>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</si>
  <si>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</si>
  <si>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</si>
  <si>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</si>
  <si>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</si>
  <si>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</si>
  <si>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</si>
  <si>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</si>
  <si>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</si>
  <si>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</si>
  <si>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</si>
  <si>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</si>
  <si>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</si>
  <si>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</si>
  <si>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</si>
  <si>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</si>
  <si>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</si>
  <si>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</si>
  <si>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</si>
  <si>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</si>
  <si>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</si>
  <si>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</si>
  <si>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</si>
  <si>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</si>
  <si>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</si>
  <si>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</si>
  <si>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</si>
  <si>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</si>
  <si>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</si>
  <si>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</si>
  <si>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</si>
  <si>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</si>
  <si>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</si>
  <si>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</si>
  <si>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</si>
  <si>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</si>
  <si>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</si>
  <si>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</si>
  <si>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</si>
  <si>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</si>
  <si>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</si>
  <si>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</si>
  <si>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</si>
  <si>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</si>
  <si>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</si>
  <si>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</si>
  <si>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</si>
  <si>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</si>
  <si>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</si>
  <si>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</si>
  <si>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</si>
  <si>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</si>
  <si>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</si>
  <si>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</si>
  <si>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</si>
  <si>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</si>
  <si>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</si>
  <si>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</si>
  <si>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</si>
  <si>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</si>
  <si>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</si>
  <si>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</si>
  <si>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</si>
  <si>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</si>
  <si>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</si>
  <si>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</si>
  <si>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</si>
  <si>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</si>
  <si>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</si>
  <si>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</si>
  <si>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</si>
  <si>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</si>
  <si>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</si>
  <si>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</si>
  <si>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</si>
  <si>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</si>
  <si>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</si>
  <si>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</si>
  <si>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</si>
  <si>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</si>
  <si>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</si>
  <si>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</si>
  <si>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</si>
  <si>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</si>
  <si>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</si>
  <si>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</si>
  <si>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</si>
  <si>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</si>
  <si>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</si>
  <si>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</si>
  <si>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</si>
  <si>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</si>
  <si>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</si>
  <si>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</si>
  <si>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</si>
  <si>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</si>
  <si>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</si>
  <si>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</si>
  <si>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</si>
  <si>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</si>
  <si>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</si>
  <si>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</si>
  <si>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</si>
  <si>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</si>
  <si>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</si>
  <si>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</si>
  <si>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</si>
  <si>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</si>
  <si>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</si>
  <si>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</si>
  <si>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</si>
  <si>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</si>
  <si>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</si>
  <si>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</si>
  <si>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</si>
  <si>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</si>
  <si>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</si>
  <si>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</si>
  <si>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</si>
  <si>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</si>
  <si>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</si>
  <si>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</si>
  <si>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</si>
  <si>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</si>
  <si>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</si>
  <si>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</si>
  <si>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</si>
  <si>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</si>
  <si>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</si>
  <si>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</si>
  <si>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</si>
  <si>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</si>
  <si>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</si>
  <si>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</si>
  <si>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</si>
  <si>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</si>
  <si>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</si>
  <si>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</si>
  <si>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</si>
  <si>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</si>
  <si>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</si>
  <si>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</si>
  <si>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</si>
  <si>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</si>
  <si>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</si>
  <si>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</si>
  <si>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</si>
  <si>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</si>
  <si>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</si>
  <si>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</si>
  <si>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</si>
  <si>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</si>
  <si>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</si>
  <si>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</si>
  <si>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</si>
  <si>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</si>
  <si>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</si>
  <si>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</si>
  <si>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</si>
  <si>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</si>
  <si>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</si>
  <si>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</si>
  <si>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</si>
  <si>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</si>
  <si>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</si>
  <si>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</si>
  <si>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</si>
  <si>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</si>
  <si>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</si>
  <si>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</si>
  <si>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</si>
  <si>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</si>
  <si>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</si>
  <si>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</si>
  <si>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</si>
  <si>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</si>
  <si>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</si>
  <si>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</si>
  <si>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</si>
  <si>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</si>
  <si>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</si>
  <si>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</si>
  <si>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</si>
  <si>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</si>
  <si>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</si>
  <si>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</si>
  <si>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</si>
  <si>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</si>
  <si>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</si>
  <si>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</si>
  <si>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</si>
  <si>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</si>
  <si>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</si>
  <si>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</si>
  <si>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</si>
  <si>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</si>
  <si>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</si>
  <si>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</si>
  <si>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</si>
  <si>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</si>
  <si>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</si>
  <si>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</si>
  <si>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</si>
  <si>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</si>
  <si>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</si>
  <si>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</si>
  <si>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</si>
  <si>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</si>
  <si>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</si>
  <si>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</si>
  <si>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</si>
  <si>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</si>
  <si>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</si>
  <si>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</si>
  <si>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</si>
  <si>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</si>
  <si>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</si>
  <si>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</si>
  <si>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</si>
  <si>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</si>
  <si>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</si>
  <si>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</si>
  <si>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</si>
  <si>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</si>
  <si>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</si>
  <si>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</si>
  <si>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</si>
  <si>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</si>
  <si>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</si>
  <si>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</si>
  <si>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</si>
  <si>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</si>
  <si>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</si>
  <si>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</si>
  <si>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</si>
  <si>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</si>
  <si>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</si>
  <si>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</si>
  <si>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</si>
  <si>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</si>
  <si>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</si>
  <si>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</si>
  <si>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</si>
  <si>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</si>
  <si>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</si>
  <si>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</si>
  <si>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</si>
  <si>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</si>
  <si>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</si>
  <si>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</si>
  <si>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</si>
  <si>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</si>
  <si>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</si>
  <si>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</si>
  <si>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</si>
  <si>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</si>
  <si>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</si>
  <si>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</si>
  <si>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</si>
  <si>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</si>
  <si>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</si>
  <si>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</si>
  <si>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</si>
  <si>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</si>
  <si>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</si>
  <si>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</si>
  <si>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</si>
  <si>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</si>
  <si>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</si>
  <si>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</si>
  <si>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</si>
  <si>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</si>
  <si>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</si>
  <si>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</si>
  <si>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</si>
  <si>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</si>
  <si>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</si>
  <si>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</si>
  <si>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</si>
  <si>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</si>
  <si>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</si>
  <si>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</si>
  <si>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</si>
  <si>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</si>
  <si>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</si>
  <si>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</si>
  <si>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</si>
  <si>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</si>
  <si>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</si>
  <si>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</si>
  <si>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</si>
  <si>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</si>
  <si>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</si>
  <si>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</si>
  <si>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</si>
  <si>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</si>
  <si>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</si>
  <si>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</si>
  <si>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</si>
  <si>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</si>
  <si>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</si>
  <si>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</si>
  <si>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</si>
  <si>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</si>
  <si>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</si>
  <si>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</si>
  <si>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</si>
  <si>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</si>
  <si>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</si>
  <si>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</si>
  <si>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</si>
  <si>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</si>
  <si>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</si>
  <si>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</si>
  <si>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</si>
  <si>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</si>
  <si>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</si>
  <si>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</si>
  <si>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</si>
  <si>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</si>
  <si>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</si>
  <si>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</si>
  <si>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</si>
  <si>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</si>
  <si>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</si>
  <si>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</si>
  <si>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</si>
  <si>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</si>
  <si>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</si>
  <si>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</si>
  <si>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</si>
  <si>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</si>
  <si>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</si>
  <si>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</si>
  <si>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</si>
  <si>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</si>
  <si>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</si>
  <si>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</si>
  <si>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</si>
  <si>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</si>
  <si>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</si>
  <si>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</si>
  <si>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</si>
  <si>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</si>
  <si>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</si>
  <si>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</si>
  <si>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</si>
  <si>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</si>
  <si>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</si>
  <si>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</si>
  <si>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</si>
  <si>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</si>
  <si>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</si>
  <si>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</si>
  <si>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</si>
  <si>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</si>
  <si>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</si>
  <si>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</si>
  <si>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</si>
  <si>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</si>
  <si>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</si>
  <si>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</si>
  <si>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</si>
  <si>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</si>
  <si>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</si>
  <si>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</si>
  <si>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</si>
  <si>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</si>
  <si>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</si>
  <si>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</si>
  <si>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</si>
  <si>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</si>
  <si>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</si>
  <si>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</si>
  <si>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</si>
  <si>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</si>
  <si>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</si>
  <si>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</si>
  <si>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</si>
  <si>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</si>
  <si>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</si>
  <si>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</si>
  <si>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</si>
  <si>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</si>
  <si>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</si>
  <si>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</si>
  <si>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</si>
  <si>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</si>
  <si>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</si>
  <si>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</si>
  <si>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</si>
  <si>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</si>
  <si>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</si>
  <si>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</si>
  <si>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</si>
  <si>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</si>
  <si>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</si>
  <si>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</si>
  <si>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</si>
  <si>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</si>
  <si>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</si>
  <si>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</si>
  <si>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</si>
  <si>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</si>
  <si>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</si>
  <si>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</si>
  <si>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</si>
  <si>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</si>
  <si>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</si>
  <si>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</si>
  <si>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</si>
  <si>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</si>
  <si>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</si>
  <si>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</si>
  <si>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</si>
  <si>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</si>
  <si>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</si>
  <si>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</si>
  <si>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</si>
  <si>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</si>
  <si>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</si>
  <si>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</si>
  <si>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</si>
  <si>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</si>
  <si>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</si>
  <si>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</si>
  <si>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</si>
  <si>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</si>
  <si>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</si>
  <si>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</si>
  <si>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</si>
  <si>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</si>
  <si>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</si>
  <si>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</si>
  <si>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</si>
  <si>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</si>
  <si>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</si>
  <si>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</si>
  <si>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</si>
  <si>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</si>
  <si>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</si>
  <si>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</si>
  <si>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</si>
  <si>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</si>
  <si>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</si>
  <si>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</si>
  <si>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</si>
  <si>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</si>
  <si>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</si>
  <si>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</si>
  <si>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</si>
  <si>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</si>
  <si>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</si>
  <si>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</si>
  <si>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</si>
  <si>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</si>
  <si>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</si>
  <si>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</si>
  <si>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</si>
  <si>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</si>
  <si>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</si>
  <si>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</si>
  <si>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</si>
  <si>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</si>
  <si>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</si>
  <si>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</si>
  <si>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</si>
  <si>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</si>
  <si>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</si>
  <si>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</si>
  <si>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</si>
  <si>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</si>
  <si>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</si>
  <si>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</si>
  <si>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</si>
  <si>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</si>
  <si>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</si>
  <si>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</si>
  <si>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</si>
  <si>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</si>
  <si>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</si>
  <si>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</si>
  <si>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</si>
  <si>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</si>
  <si>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</si>
  <si>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</si>
  <si>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</si>
  <si>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</si>
  <si>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</si>
  <si>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</si>
  <si>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</si>
  <si>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</si>
  <si>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</si>
  <si>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</si>
  <si>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</si>
  <si>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</si>
  <si>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</si>
  <si>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</si>
  <si>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</si>
  <si>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</si>
  <si>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</si>
  <si>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</si>
  <si>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</si>
  <si>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</si>
  <si>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</si>
  <si>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</si>
  <si>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</si>
  <si>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</si>
  <si>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</si>
  <si>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</si>
  <si>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</si>
  <si>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</si>
  <si>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</si>
  <si>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</si>
  <si>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</si>
  <si>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</si>
  <si>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</si>
  <si>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</si>
  <si>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</si>
  <si>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</si>
  <si>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</si>
  <si>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</si>
  <si>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</si>
  <si>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</si>
  <si>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</si>
  <si>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</si>
  <si>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</si>
  <si>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</si>
  <si>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</si>
  <si>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</si>
  <si>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</si>
  <si>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</si>
  <si>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</si>
  <si>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</si>
  <si>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</si>
  <si>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</si>
  <si>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</si>
  <si>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</si>
  <si>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</si>
  <si>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</si>
  <si>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</si>
  <si>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</si>
  <si>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</si>
  <si>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</si>
  <si>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</si>
  <si>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</si>
  <si>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</si>
  <si>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</si>
  <si>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</si>
  <si>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</si>
  <si>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</si>
  <si>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</si>
  <si>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</si>
  <si>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</si>
  <si>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</si>
  <si>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</si>
  <si>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</si>
  <si>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</si>
  <si>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</si>
  <si>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</si>
  <si>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</si>
  <si>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</si>
  <si>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</si>
  <si>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</si>
  <si>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</si>
  <si>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</si>
  <si>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</si>
  <si>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</si>
  <si>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</si>
  <si>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</si>
  <si>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</si>
  <si>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</si>
  <si>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</si>
  <si>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</si>
  <si>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</si>
  <si>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</si>
  <si>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</si>
  <si>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</si>
  <si>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</si>
  <si>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</si>
  <si>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</si>
  <si>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</si>
  <si>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</si>
  <si>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</si>
  <si>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</si>
  <si>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</si>
  <si>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</si>
  <si>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</si>
  <si>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</si>
  <si>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</si>
  <si>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</si>
  <si>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</si>
  <si>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</si>
  <si>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</si>
  <si>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</si>
  <si>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</si>
  <si>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</si>
  <si>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</si>
  <si>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</si>
  <si>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</si>
  <si>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</si>
  <si>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</si>
  <si>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</si>
  <si>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</si>
  <si>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</si>
  <si>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</si>
  <si>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</si>
  <si>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</si>
  <si>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</si>
  <si>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</si>
  <si>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</si>
  <si>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</si>
  <si>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</si>
  <si>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</si>
  <si>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</si>
  <si>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</si>
  <si>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</si>
  <si>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</si>
  <si>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</si>
  <si>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</si>
  <si>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</si>
  <si>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</si>
  <si>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</si>
  <si>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</si>
  <si>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</si>
  <si>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</si>
  <si>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</si>
  <si>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</si>
  <si>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</si>
  <si>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</si>
  <si>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</si>
  <si>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</si>
  <si>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</si>
  <si>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</si>
  <si>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</si>
  <si>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</si>
  <si>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</si>
  <si>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</si>
  <si>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</si>
  <si>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</si>
  <si>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</si>
  <si>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</si>
  <si>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</si>
  <si>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</si>
  <si>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</si>
  <si>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</si>
  <si>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</si>
  <si>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</si>
  <si>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</si>
  <si>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</si>
  <si>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</si>
  <si>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</si>
  <si>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</si>
  <si>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</si>
  <si>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</si>
  <si>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</si>
  <si>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</si>
  <si>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</si>
  <si>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</si>
  <si>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</si>
  <si>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</si>
  <si>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</si>
  <si>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</si>
  <si>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</si>
  <si>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</si>
  <si>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</si>
  <si>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</si>
  <si>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</si>
  <si>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</si>
  <si>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</si>
  <si>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</si>
  <si>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</si>
  <si>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</si>
  <si>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</si>
  <si>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</si>
  <si>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</si>
  <si>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</si>
  <si>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</si>
  <si>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</si>
  <si>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</si>
  <si>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</si>
  <si>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</si>
  <si>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</si>
  <si>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</si>
  <si>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</si>
  <si>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</si>
  <si>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</si>
  <si>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</si>
  <si>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</si>
  <si>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</si>
  <si>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</si>
  <si>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</si>
  <si>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</si>
  <si>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</si>
  <si>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</si>
  <si>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</si>
  <si>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</si>
  <si>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</si>
  <si>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</si>
  <si>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</si>
  <si>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</si>
  <si>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</si>
  <si>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</si>
  <si>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</si>
  <si>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</si>
  <si>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</si>
  <si>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</si>
  <si>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</si>
  <si>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</si>
  <si>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</si>
  <si>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</si>
  <si>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</si>
  <si>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</si>
  <si>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</si>
  <si>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</si>
  <si>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</si>
  <si>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</si>
  <si>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</si>
  <si>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</si>
  <si>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</si>
  <si>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</si>
  <si>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</si>
  <si>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</si>
  <si>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</si>
  <si>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</si>
  <si>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</si>
  <si>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</si>
  <si>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</si>
  <si>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</si>
  <si>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</si>
  <si>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</si>
  <si>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</si>
  <si>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</si>
  <si>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</si>
  <si>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</si>
  <si>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</si>
  <si>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</si>
  <si>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</si>
  <si>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</si>
  <si>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</si>
  <si>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</si>
  <si>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</si>
  <si>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</si>
  <si>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</si>
  <si>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</si>
  <si>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</si>
  <si>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</si>
  <si>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</si>
  <si>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</si>
  <si>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</si>
  <si>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</si>
  <si>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</si>
  <si>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</si>
  <si>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</si>
  <si>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</si>
  <si>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</si>
  <si>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</si>
  <si>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</si>
  <si>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</si>
  <si>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</si>
  <si>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</si>
  <si>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</si>
  <si>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</si>
  <si>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</si>
  <si>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</si>
  <si>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</si>
  <si>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</si>
  <si>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</si>
  <si>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</si>
  <si>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</si>
  <si>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</si>
  <si>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</si>
  <si>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</si>
  <si>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</si>
  <si>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</si>
  <si>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</si>
  <si>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</si>
  <si>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</si>
  <si>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</si>
  <si>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</si>
  <si>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</si>
  <si>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</si>
  <si>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</si>
  <si>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</si>
  <si>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</si>
  <si>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</si>
  <si>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</si>
  <si>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</si>
  <si>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</si>
  <si>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</si>
  <si>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</si>
  <si>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</si>
  <si>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</si>
  <si>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</si>
  <si>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</si>
  <si>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</si>
  <si>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</si>
  <si>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</si>
  <si>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</si>
  <si>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</si>
  <si>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</si>
  <si>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</si>
  <si>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</si>
  <si>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</si>
  <si>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</si>
  <si>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</si>
  <si>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</si>
  <si>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</si>
  <si>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</si>
  <si>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</si>
  <si>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</si>
  <si>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</si>
  <si>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</si>
  <si>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</si>
  <si>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</si>
  <si>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</si>
  <si>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</si>
  <si>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</si>
  <si>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</si>
  <si>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</si>
  <si>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</si>
  <si>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</si>
  <si>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</si>
  <si>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</si>
  <si>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</si>
  <si>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</si>
  <si>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</si>
  <si>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</si>
  <si>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</si>
  <si>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</si>
  <si>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</si>
  <si>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</si>
  <si>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</si>
  <si>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</si>
  <si>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</si>
  <si>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</si>
  <si>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</si>
  <si>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</si>
  <si>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</si>
  <si>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</si>
  <si>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</si>
  <si>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</si>
  <si>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</si>
  <si>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</si>
  <si>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</si>
  <si>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</si>
  <si>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</si>
  <si>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</si>
  <si>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</si>
  <si>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</si>
  <si>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</si>
  <si>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</si>
  <si>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</si>
  <si>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</si>
  <si>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</si>
  <si>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</si>
  <si>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</si>
  <si>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</si>
  <si>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</si>
  <si>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</si>
  <si>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</si>
  <si>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</si>
  <si>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</si>
  <si>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</si>
  <si>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</si>
  <si>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</si>
  <si>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</si>
  <si>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</si>
  <si>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</si>
  <si>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</si>
  <si>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</si>
  <si>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</si>
  <si>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</si>
  <si>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</si>
  <si>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</si>
  <si>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</si>
  <si>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</si>
  <si>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</si>
  <si>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</si>
  <si>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</si>
  <si>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</si>
  <si>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</si>
  <si>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</si>
  <si>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</si>
  <si>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</si>
  <si>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</si>
  <si>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</si>
  <si>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</si>
  <si>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</si>
  <si>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</si>
  <si>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</si>
  <si>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</si>
  <si>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</si>
  <si>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</si>
  <si>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</si>
  <si>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</si>
  <si>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</si>
  <si>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</si>
  <si>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</si>
  <si>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</si>
  <si>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</si>
  <si>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</si>
  <si>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</si>
  <si>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</si>
  <si>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</si>
  <si>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</si>
  <si>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</si>
  <si>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</si>
  <si>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</si>
  <si>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</si>
  <si>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</si>
  <si>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</si>
  <si>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</si>
  <si>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</si>
  <si>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</si>
  <si>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</si>
  <si>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</si>
  <si>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</si>
  <si>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</si>
  <si>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</si>
  <si>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</si>
  <si>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</si>
  <si>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</si>
  <si>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</si>
  <si>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</si>
  <si>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</si>
  <si>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</si>
  <si>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</si>
  <si>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</si>
  <si>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</si>
  <si>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</si>
  <si>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</si>
  <si>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</si>
  <si>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</si>
  <si>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</si>
  <si>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</si>
  <si>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</si>
  <si>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</si>
  <si>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</si>
  <si>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</si>
  <si>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</si>
  <si>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</si>
  <si>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</si>
  <si>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</si>
  <si>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</si>
  <si>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</si>
  <si>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</si>
  <si>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</si>
  <si>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</si>
  <si>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</si>
  <si>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</si>
  <si>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</si>
  <si>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</si>
  <si>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</si>
  <si>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</si>
  <si>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</si>
  <si>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</si>
  <si>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</si>
  <si>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</si>
  <si>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</si>
  <si>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</si>
  <si>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</si>
  <si>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</si>
  <si>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</si>
  <si>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</si>
  <si>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</si>
  <si>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</si>
  <si>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</si>
  <si>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</si>
  <si>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</si>
  <si>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</si>
  <si>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</si>
  <si>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</si>
  <si>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</si>
  <si>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</si>
  <si>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</si>
  <si>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</si>
  <si>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</si>
  <si>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</si>
  <si>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</si>
  <si>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</si>
  <si>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</si>
  <si>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</si>
  <si>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</si>
  <si>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</si>
  <si>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</si>
  <si>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</si>
  <si>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</si>
  <si>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</si>
  <si>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</si>
  <si>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</si>
  <si>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</si>
  <si>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</si>
  <si>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</si>
  <si>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</si>
  <si>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</si>
  <si>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</si>
  <si>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</si>
  <si>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</si>
  <si>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</si>
  <si>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</si>
  <si>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</si>
  <si>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</si>
  <si>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</si>
  <si>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</si>
  <si>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</si>
  <si>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</si>
  <si>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</si>
  <si>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</si>
  <si>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</si>
  <si>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</si>
  <si>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</si>
  <si>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</si>
  <si>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</si>
  <si>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</si>
  <si>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</si>
  <si>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</si>
  <si>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</si>
  <si>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</si>
  <si>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</si>
  <si>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</si>
  <si>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</si>
  <si>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</si>
  <si>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</si>
  <si>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</si>
  <si>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</si>
  <si>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</si>
  <si>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</si>
  <si>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</si>
  <si>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</si>
  <si>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</si>
  <si>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</si>
  <si>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</si>
  <si>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</si>
  <si>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</si>
  <si>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</si>
  <si>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</si>
  <si>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</si>
  <si>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</si>
  <si>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</si>
  <si>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</si>
  <si>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</si>
  <si>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</si>
  <si>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</si>
  <si>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</si>
  <si>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</si>
  <si>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</si>
  <si>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</si>
  <si>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</si>
  <si>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</si>
  <si>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</si>
  <si>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</si>
  <si>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</si>
  <si>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</si>
  <si>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</si>
  <si>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</si>
  <si>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</si>
  <si>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</si>
  <si>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</si>
  <si>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</si>
  <si>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</si>
  <si>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</si>
  <si>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</si>
  <si>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</si>
  <si>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</si>
  <si>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</si>
  <si>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</si>
  <si>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</si>
  <si>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</si>
  <si>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</si>
  <si>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</si>
  <si>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</si>
  <si>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</si>
  <si>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</si>
  <si>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</si>
  <si>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</si>
  <si>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</si>
  <si>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</si>
  <si>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</si>
  <si>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</si>
  <si>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</si>
  <si>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</si>
  <si>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</si>
  <si>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</si>
  <si>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</si>
  <si>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</si>
  <si>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</si>
  <si>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</si>
  <si>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</si>
  <si>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</si>
  <si>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</si>
  <si>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</si>
  <si>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</si>
  <si>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</si>
  <si>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</si>
  <si>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</si>
  <si>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</si>
  <si>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</si>
  <si>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</si>
  <si>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</si>
  <si>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</si>
  <si>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</si>
  <si>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</si>
  <si>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</si>
  <si>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</si>
  <si>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</si>
  <si>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</si>
  <si>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</si>
  <si>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</si>
  <si>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</si>
  <si>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</si>
  <si>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</si>
  <si>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</si>
  <si>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</si>
  <si>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</si>
  <si>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</si>
  <si>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</si>
  <si>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</si>
  <si>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</si>
  <si>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</si>
  <si>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</si>
  <si>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</si>
  <si>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</si>
  <si>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</si>
  <si>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</si>
  <si>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</si>
  <si>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</si>
  <si>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</si>
  <si>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</si>
  <si>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</si>
  <si>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</si>
  <si>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</si>
  <si>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</si>
  <si>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</si>
  <si>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</si>
  <si>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</si>
  <si>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</si>
  <si>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</si>
  <si>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</si>
  <si>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</si>
  <si>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</si>
  <si>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</si>
  <si>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</si>
  <si>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</si>
  <si>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</si>
  <si>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</si>
  <si>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</si>
  <si>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</si>
  <si>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</si>
  <si>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</si>
  <si>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</si>
  <si>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</si>
  <si>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</si>
  <si>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</si>
  <si>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</si>
  <si>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</si>
  <si>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</si>
  <si>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</si>
  <si>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</si>
  <si>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</si>
  <si>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</si>
  <si>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</si>
  <si>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</si>
  <si>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</si>
  <si>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</si>
  <si>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</si>
  <si>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</si>
  <si>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</si>
  <si>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</si>
  <si>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</si>
  <si>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</si>
  <si>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</si>
  <si>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</si>
  <si>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</si>
  <si>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</si>
  <si>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</si>
  <si>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</si>
  <si>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</si>
  <si>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</si>
  <si>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</si>
  <si>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</si>
  <si>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</si>
  <si>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</si>
  <si>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</si>
  <si>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</si>
  <si>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</si>
  <si>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</si>
  <si>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</si>
  <si>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</si>
  <si>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</si>
  <si>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</si>
  <si>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</si>
  <si>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</si>
  <si>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</si>
  <si>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</si>
  <si>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</si>
  <si>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</si>
  <si>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</si>
  <si>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</si>
  <si>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</si>
  <si>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</si>
  <si>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</si>
  <si>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</si>
  <si>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</si>
  <si>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</si>
  <si>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</si>
  <si>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</si>
  <si>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</si>
  <si>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</si>
  <si>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</si>
  <si>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</si>
  <si>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</si>
  <si>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</si>
  <si>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</si>
  <si>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</si>
  <si>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</si>
  <si>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</si>
  <si>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</si>
  <si>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</si>
  <si>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</si>
  <si>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</si>
  <si>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</si>
  <si>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</si>
  <si>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</si>
  <si>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</si>
  <si>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</si>
  <si>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</si>
  <si>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</si>
  <si>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</si>
  <si>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</si>
  <si>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</si>
  <si>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</si>
  <si>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</si>
  <si>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</si>
  <si>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</si>
  <si>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</si>
  <si>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</si>
  <si>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</si>
  <si>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</si>
  <si>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</si>
  <si>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</si>
  <si>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</si>
  <si>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</si>
  <si>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</si>
  <si>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</si>
  <si>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</si>
  <si>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</si>
  <si>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</si>
  <si>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</si>
  <si>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</si>
  <si>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</si>
  <si>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</si>
  <si>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</si>
  <si>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</si>
  <si>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</si>
  <si>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</si>
  <si>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</si>
  <si>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</si>
  <si>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</si>
  <si>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</si>
  <si>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</si>
  <si>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</si>
  <si>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</si>
  <si>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</si>
  <si>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</si>
  <si>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</si>
  <si>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</si>
  <si>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</si>
  <si>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</si>
  <si>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</si>
  <si>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</si>
  <si>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</si>
  <si>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</si>
  <si>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</si>
  <si>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</si>
  <si>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</si>
  <si>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</si>
  <si>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</si>
  <si>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</si>
  <si>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</si>
  <si>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</si>
  <si>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</si>
  <si>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</si>
  <si>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</si>
  <si>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</si>
  <si>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</si>
  <si>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</si>
  <si>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</si>
  <si>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</si>
  <si>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</si>
  <si>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</si>
  <si>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</si>
  <si>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</si>
  <si>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</si>
  <si>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</si>
  <si>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</si>
  <si>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</si>
  <si>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</si>
  <si>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</si>
  <si>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</si>
  <si>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</si>
  <si>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</si>
  <si>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</si>
  <si>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</si>
  <si>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</si>
  <si>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</si>
  <si>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</si>
  <si>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</si>
  <si>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</si>
  <si>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</si>
  <si>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</si>
  <si>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</si>
  <si>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</si>
  <si>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</si>
  <si>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</si>
  <si>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</si>
  <si>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</si>
  <si>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</si>
  <si>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</si>
  <si>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</si>
  <si>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</si>
  <si>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</si>
  <si>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</si>
  <si>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</si>
  <si>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</si>
  <si>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</si>
  <si>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</si>
  <si>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</si>
  <si>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</si>
  <si>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</si>
  <si>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</si>
  <si>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</si>
  <si>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</si>
  <si>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</si>
  <si>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</si>
  <si>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</si>
  <si>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</si>
  <si>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</si>
  <si>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</si>
  <si>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</si>
  <si>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</si>
  <si>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</si>
  <si>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</si>
  <si>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</si>
  <si>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</si>
  <si>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</si>
  <si>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</si>
  <si>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</si>
  <si>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</si>
  <si>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</si>
  <si>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</si>
  <si>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</si>
  <si>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</si>
  <si>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</si>
  <si>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</si>
  <si>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</si>
  <si>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</si>
  <si>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</si>
  <si>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</si>
  <si>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</si>
  <si>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</si>
  <si>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</si>
  <si>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</si>
  <si>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</si>
  <si>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</si>
  <si>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</si>
  <si>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</si>
  <si>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</si>
  <si>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</si>
  <si>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</si>
  <si>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</si>
  <si>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</si>
  <si>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</si>
  <si>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</si>
  <si>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</si>
  <si>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</si>
  <si>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</si>
  <si>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</si>
  <si>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</si>
  <si>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</si>
  <si>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</si>
  <si>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</si>
  <si>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</si>
  <si>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</si>
  <si>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</si>
  <si>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</si>
  <si>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</si>
  <si>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</si>
  <si>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</si>
  <si>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</si>
  <si>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</si>
  <si>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</si>
  <si>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</si>
  <si>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</si>
  <si>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</si>
  <si>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</si>
  <si>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</si>
  <si>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</si>
  <si>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</si>
  <si>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</si>
  <si>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</si>
  <si>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</si>
  <si>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</si>
  <si>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</si>
  <si>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</si>
  <si>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</si>
  <si>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</si>
  <si>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</si>
  <si>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</si>
  <si>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</si>
  <si>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</si>
  <si>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</si>
  <si>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</si>
  <si>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</si>
  <si>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</si>
  <si>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</si>
  <si>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</si>
  <si>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</si>
  <si>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</si>
  <si>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</si>
  <si>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</si>
  <si>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</si>
  <si>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</si>
  <si>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</si>
  <si>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</si>
  <si>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</si>
  <si>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</si>
  <si>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</si>
  <si>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</si>
  <si>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</si>
  <si>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</si>
  <si>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</si>
  <si>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</si>
  <si>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</si>
  <si>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</si>
  <si>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</si>
  <si>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</si>
  <si>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</si>
  <si>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</si>
  <si>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</si>
  <si>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</si>
  <si>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</si>
  <si>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</si>
  <si>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</si>
  <si>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</si>
  <si>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</si>
  <si>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</si>
  <si>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</si>
  <si>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</si>
  <si>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</si>
  <si>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</si>
  <si>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</si>
  <si>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</si>
  <si>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</si>
  <si>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</si>
  <si>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</si>
  <si>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</si>
  <si>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</si>
  <si>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</si>
  <si>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</si>
  <si>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</si>
  <si>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</si>
  <si>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</si>
  <si>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</si>
  <si>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</si>
  <si>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</si>
  <si>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</si>
  <si>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</si>
  <si>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</si>
  <si>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</si>
  <si>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</si>
  <si>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</si>
  <si>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</si>
  <si>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</si>
  <si>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</si>
  <si>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</si>
  <si>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</si>
  <si>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</si>
  <si>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</si>
  <si>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</si>
  <si>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</si>
  <si>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</si>
  <si>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</si>
  <si>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</si>
  <si>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</si>
  <si>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</si>
  <si>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</si>
  <si>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</si>
  <si>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</si>
  <si>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</si>
  <si>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</si>
  <si>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</si>
  <si>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</si>
  <si>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</si>
  <si>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</si>
  <si>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</si>
  <si>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</si>
  <si>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</si>
  <si>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</si>
  <si>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</si>
  <si>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</si>
  <si>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</si>
  <si>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</si>
  <si>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</si>
  <si>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</si>
  <si>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</si>
  <si>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</si>
  <si>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</si>
  <si>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</si>
  <si>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</si>
  <si>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</si>
  <si>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</si>
  <si>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</si>
  <si>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</si>
  <si>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</si>
  <si>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</si>
  <si>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</si>
  <si>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</si>
  <si>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</si>
  <si>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</si>
  <si>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</si>
  <si>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</si>
  <si>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</si>
  <si>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</si>
  <si>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</si>
  <si>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</si>
  <si>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</si>
  <si>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</si>
  <si>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</si>
  <si>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</si>
  <si>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</si>
  <si>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</si>
  <si>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</si>
  <si>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</si>
  <si>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</si>
  <si>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</si>
  <si>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</si>
  <si>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</si>
  <si>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</si>
  <si>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</si>
  <si>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</si>
  <si>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</si>
  <si>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</si>
  <si>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</si>
  <si>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</si>
  <si>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</si>
  <si>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</si>
  <si>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</si>
  <si>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</si>
  <si>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</si>
  <si>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</si>
  <si>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</si>
  <si>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</si>
  <si>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</si>
  <si>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</si>
  <si>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</si>
  <si>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</si>
  <si>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</si>
  <si>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</si>
  <si>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</si>
  <si>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</si>
  <si>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</si>
  <si>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</si>
  <si>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</si>
  <si>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</si>
  <si>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</si>
  <si>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</si>
  <si>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</si>
  <si>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</si>
  <si>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</si>
  <si>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</si>
  <si>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</si>
  <si>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</si>
  <si>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</si>
  <si>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</si>
  <si>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</si>
  <si>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</si>
  <si>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</si>
  <si>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</si>
  <si>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</si>
  <si>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</si>
  <si>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</si>
  <si>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</si>
  <si>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</si>
  <si>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</si>
  <si>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</si>
  <si>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</si>
  <si>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</si>
  <si>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</si>
  <si>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</si>
  <si>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</si>
  <si>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</si>
  <si>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</si>
  <si>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</si>
  <si>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</si>
  <si>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</si>
  <si>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</si>
  <si>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</si>
  <si>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</si>
  <si>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</si>
  <si>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</si>
  <si>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</si>
  <si>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</si>
  <si>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</si>
  <si>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</si>
  <si>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</si>
  <si>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</si>
  <si>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</si>
  <si>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</si>
  <si>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</si>
  <si>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</si>
  <si>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</si>
  <si>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</si>
  <si>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</si>
  <si>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</si>
  <si>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</si>
  <si>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</si>
  <si>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</si>
  <si>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</si>
  <si>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</si>
  <si>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</si>
  <si>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</si>
  <si>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</si>
  <si>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</si>
  <si>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</si>
  <si>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</si>
  <si>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</si>
  <si>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</si>
  <si>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</si>
  <si>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</si>
  <si>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</si>
  <si>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</si>
  <si>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</si>
  <si>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</si>
  <si>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</si>
  <si>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</si>
  <si>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</si>
  <si>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</si>
  <si>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</si>
  <si>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</si>
  <si>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</si>
  <si>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</si>
  <si>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</si>
  <si>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</si>
  <si>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</si>
  <si>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</si>
  <si>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</si>
  <si>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</si>
  <si>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</si>
  <si>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</si>
  <si>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</si>
  <si>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</si>
  <si>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</si>
  <si>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</si>
  <si>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</si>
  <si>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</si>
  <si>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</si>
  <si>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</si>
  <si>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</si>
  <si>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</si>
  <si>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</si>
  <si>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</si>
  <si>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</si>
  <si>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</si>
  <si>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</si>
  <si>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</si>
  <si>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</si>
  <si>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</si>
  <si>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</si>
  <si>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</si>
  <si>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</si>
  <si>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</si>
  <si>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</si>
  <si>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</si>
  <si>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</si>
  <si>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</si>
  <si>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</si>
  <si>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</si>
  <si>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</si>
  <si>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</si>
  <si>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</si>
  <si>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</si>
  <si>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</si>
  <si>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</si>
  <si>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</si>
  <si>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</si>
  <si>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</si>
  <si>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</si>
  <si>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</si>
  <si>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</si>
  <si>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</si>
  <si>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</si>
  <si>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</si>
  <si>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</si>
  <si>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</si>
  <si>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</si>
  <si>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</si>
  <si>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</si>
  <si>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</si>
  <si>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</si>
  <si>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</si>
  <si>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</si>
  <si>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</si>
  <si>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</si>
  <si>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</si>
  <si>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</si>
  <si>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</si>
  <si>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</si>
  <si>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</si>
  <si>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</si>
  <si>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</si>
  <si>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</si>
  <si>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</si>
  <si>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</si>
  <si>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</si>
  <si>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</si>
  <si>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</si>
  <si>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</si>
  <si>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</si>
  <si>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</si>
  <si>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</si>
  <si>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</si>
  <si>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</si>
  <si>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</si>
  <si>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</si>
  <si>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</si>
  <si>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</si>
  <si>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</si>
  <si>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</si>
  <si>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</si>
  <si>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</si>
  <si>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</si>
  <si>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</si>
  <si>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</si>
  <si>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</si>
  <si>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</si>
  <si>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</si>
  <si>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</si>
  <si>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</si>
  <si>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</si>
  <si>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</si>
  <si>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</si>
  <si>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</si>
  <si>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</si>
  <si>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</si>
  <si>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</si>
  <si>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</si>
  <si>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</si>
  <si>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</si>
  <si>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</si>
  <si>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</si>
  <si>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</si>
  <si>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</si>
  <si>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</si>
  <si>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</si>
  <si>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</si>
  <si>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</si>
  <si>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</si>
  <si>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</si>
  <si>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</si>
  <si>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</si>
  <si>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</si>
  <si>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</si>
  <si>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</si>
  <si>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</si>
  <si>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</si>
  <si>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</si>
  <si>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</si>
  <si>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</si>
  <si>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</si>
  <si>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</si>
  <si>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</si>
  <si>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</si>
  <si>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</si>
  <si>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</si>
  <si>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</si>
  <si>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</si>
  <si>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</si>
  <si>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</si>
  <si>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</si>
  <si>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</si>
  <si>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</si>
  <si>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</si>
  <si>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</si>
  <si>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</si>
  <si>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</si>
  <si>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</si>
  <si>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</si>
  <si>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</si>
  <si>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</si>
  <si>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</si>
  <si>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</si>
  <si>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</si>
  <si>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</si>
  <si>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</si>
  <si>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</si>
  <si>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</si>
  <si>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</si>
  <si>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</si>
  <si>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</si>
  <si>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</si>
  <si>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</si>
  <si>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</si>
  <si>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</si>
  <si>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</si>
  <si>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</si>
  <si>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</si>
  <si>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</si>
  <si>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</si>
  <si>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</si>
  <si>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</si>
  <si>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</si>
  <si>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</si>
  <si>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</si>
  <si>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</si>
  <si>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</si>
  <si>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</si>
  <si>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</si>
  <si>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</si>
  <si>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</si>
  <si>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</si>
  <si>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</si>
  <si>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</si>
  <si>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</si>
  <si>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</si>
  <si>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</si>
  <si>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</si>
  <si>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</si>
  <si>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</si>
  <si>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</si>
  <si>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</si>
  <si>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</si>
  <si>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</si>
  <si>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</si>
  <si>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</si>
  <si>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</si>
  <si>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</si>
  <si>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</si>
  <si>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</si>
  <si>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</si>
  <si>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</si>
  <si>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</si>
  <si>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</si>
  <si>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</si>
  <si>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</si>
  <si>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</si>
  <si>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</si>
  <si>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</si>
  <si>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</si>
  <si>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</si>
  <si>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</si>
  <si>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</si>
  <si>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</si>
  <si>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</si>
  <si>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</si>
  <si>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</si>
  <si>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</si>
  <si>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</si>
  <si>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</si>
  <si>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</si>
  <si>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</si>
  <si>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</si>
  <si>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</si>
  <si>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</si>
  <si>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</si>
  <si>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</si>
  <si>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</si>
  <si>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</si>
  <si>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</si>
  <si>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</si>
  <si>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</si>
  <si>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</si>
  <si>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</si>
  <si>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</si>
  <si>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</si>
  <si>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</si>
  <si>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</si>
  <si>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</si>
  <si>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</si>
  <si>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</si>
  <si>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</si>
  <si>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</si>
  <si>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</si>
  <si>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</si>
  <si>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</si>
  <si>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</si>
  <si>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</si>
  <si>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</si>
  <si>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</si>
  <si>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</si>
  <si>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</si>
  <si>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</si>
  <si>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</si>
  <si>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</si>
  <si>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</si>
  <si>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</si>
  <si>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</si>
  <si>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</si>
  <si>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</si>
  <si>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</si>
  <si>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</si>
  <si>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</si>
  <si>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</si>
  <si>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</si>
  <si>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</si>
  <si>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</si>
  <si>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</si>
  <si>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</si>
  <si>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</si>
  <si>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</si>
  <si>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</si>
  <si>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</si>
  <si>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</si>
  <si>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</si>
  <si>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</si>
  <si>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</si>
  <si>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</si>
  <si>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</si>
  <si>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</si>
  <si>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</si>
  <si>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</si>
  <si>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</si>
  <si>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</si>
  <si>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</si>
  <si>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</si>
  <si>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</si>
  <si>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</si>
  <si>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</si>
  <si>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</si>
  <si>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</si>
  <si>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</si>
  <si>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</si>
  <si>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</si>
  <si>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</si>
  <si>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</si>
  <si>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</si>
  <si>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</si>
  <si>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</si>
  <si>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</si>
  <si>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</si>
  <si>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</si>
  <si>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</si>
  <si>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</si>
  <si>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</si>
  <si>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</si>
  <si>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</si>
  <si>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</si>
  <si>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</si>
  <si>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</si>
  <si>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</si>
  <si>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</si>
  <si>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</si>
  <si>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</si>
  <si>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</si>
  <si>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</si>
  <si>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</si>
  <si>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</si>
  <si>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</si>
  <si>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</si>
  <si>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</si>
  <si>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</si>
  <si>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</si>
  <si>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</si>
  <si>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</si>
  <si>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</si>
  <si>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</si>
  <si>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</si>
  <si>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</si>
  <si>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</si>
  <si>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</si>
  <si>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</si>
  <si>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</si>
  <si>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</si>
  <si>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</si>
  <si>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</si>
  <si>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</si>
  <si>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</si>
  <si>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</si>
  <si>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</si>
  <si>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</si>
  <si>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</si>
  <si>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</si>
  <si>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</si>
  <si>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</si>
  <si>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</si>
  <si>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</si>
  <si>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</si>
  <si>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</si>
  <si>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</si>
  <si>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</si>
  <si>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</si>
  <si>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</si>
  <si>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</si>
  <si>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</si>
  <si>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</si>
  <si>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</si>
  <si>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</si>
  <si>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</si>
  <si>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</si>
  <si>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</si>
  <si>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</si>
  <si>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</si>
  <si>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</si>
  <si>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</si>
  <si>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</si>
  <si>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</si>
  <si>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</si>
  <si>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</si>
  <si>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</si>
  <si>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</si>
  <si>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</si>
  <si>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</si>
  <si>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</si>
  <si>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</si>
  <si>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</si>
  <si>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</si>
  <si>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</si>
  <si>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</si>
  <si>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</si>
  <si>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</si>
  <si>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</si>
  <si>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</si>
  <si>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</si>
  <si>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</si>
  <si>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</si>
  <si>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</si>
  <si>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</si>
  <si>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</si>
  <si>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</si>
  <si>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</si>
  <si>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</si>
  <si>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</si>
  <si>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</si>
  <si>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</si>
  <si>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</si>
  <si>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</si>
  <si>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</si>
  <si>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</si>
  <si>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</si>
  <si>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</si>
  <si>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</si>
  <si>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</si>
  <si>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</si>
  <si>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</si>
  <si>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</si>
  <si>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</si>
  <si>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</si>
  <si>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</si>
  <si>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</si>
  <si>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</si>
  <si>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</si>
  <si>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</si>
  <si>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</si>
  <si>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</si>
  <si>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</si>
  <si>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</si>
  <si>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</si>
  <si>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</si>
  <si>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</si>
  <si>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</si>
  <si>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</si>
  <si>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</si>
  <si>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</si>
  <si>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</si>
  <si>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</si>
  <si>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</si>
  <si>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</si>
  <si>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</si>
  <si>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</si>
  <si>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</si>
  <si>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</si>
  <si>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</si>
  <si>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</si>
  <si>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</si>
  <si>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</si>
  <si>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</si>
  <si>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</si>
  <si>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</si>
  <si>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</si>
  <si>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</si>
  <si>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</si>
  <si>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</si>
  <si>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</si>
  <si>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</si>
  <si>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</si>
  <si>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</si>
  <si>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</si>
  <si>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</si>
  <si>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</si>
  <si>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</si>
  <si>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</si>
  <si>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</si>
  <si>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</si>
  <si>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</si>
  <si>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</si>
  <si>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</si>
  <si>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</si>
  <si>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</si>
  <si>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</si>
  <si>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</si>
  <si>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</si>
  <si>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</si>
  <si>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</si>
  <si>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</si>
  <si>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</si>
  <si>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</si>
  <si>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</si>
  <si>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</si>
  <si>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</si>
  <si>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</si>
  <si>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</si>
  <si>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</si>
  <si>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</si>
  <si>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</si>
  <si>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</si>
  <si>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</si>
  <si>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</si>
  <si>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</si>
  <si>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</si>
  <si>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</si>
  <si>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</si>
  <si>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</si>
  <si>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</si>
  <si>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</si>
  <si>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</si>
  <si>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</si>
  <si>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</si>
  <si>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</si>
  <si>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</si>
  <si>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</si>
  <si>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</si>
  <si>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</si>
  <si>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</si>
  <si>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</si>
  <si>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</si>
  <si>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</si>
  <si>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</si>
  <si>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</si>
  <si>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</si>
  <si>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</si>
  <si>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</si>
  <si>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</si>
  <si>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</si>
  <si>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</si>
  <si>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</si>
  <si>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</si>
  <si>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</si>
  <si>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</si>
  <si>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</si>
  <si>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</si>
  <si>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</si>
  <si>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</si>
  <si>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</si>
  <si>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</si>
  <si>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</si>
  <si>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</si>
  <si>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</si>
  <si>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</si>
  <si>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</si>
  <si>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</si>
  <si>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</si>
  <si>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</si>
  <si>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</si>
  <si>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</si>
  <si>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</si>
  <si>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</si>
  <si>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</si>
  <si>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</si>
  <si>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</si>
  <si>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</si>
  <si>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</si>
  <si>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</si>
  <si>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</si>
  <si>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</si>
  <si>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</si>
  <si>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</si>
  <si>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</si>
  <si>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</si>
  <si>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</si>
  <si>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</si>
  <si>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</si>
  <si>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</si>
  <si>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</si>
  <si>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</si>
  <si>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</si>
  <si>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</si>
  <si>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</si>
  <si>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</si>
  <si>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</si>
  <si>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</si>
  <si>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</si>
  <si>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</si>
  <si>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</si>
  <si>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</si>
  <si>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</si>
  <si>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</si>
  <si>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</si>
  <si>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</si>
  <si>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</si>
  <si>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</si>
  <si>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</si>
  <si>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</si>
  <si>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</si>
  <si>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</si>
  <si>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</si>
  <si>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</si>
  <si>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</si>
  <si>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</si>
  <si>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</si>
  <si>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</si>
  <si>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</si>
  <si>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</si>
  <si>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</si>
  <si>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</si>
  <si>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</si>
  <si>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</si>
  <si>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</si>
  <si>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</si>
  <si>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</si>
  <si>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</si>
  <si>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</si>
  <si>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</si>
  <si>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</si>
  <si>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</si>
  <si>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</si>
  <si>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</si>
  <si>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</si>
  <si>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</si>
  <si>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</si>
  <si>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</si>
  <si>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</si>
  <si>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</si>
  <si>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</si>
  <si>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</si>
  <si>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</si>
  <si>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</si>
  <si>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</si>
  <si>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</si>
  <si>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</si>
  <si>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</si>
  <si>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</si>
  <si>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</si>
  <si>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</si>
  <si>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</si>
  <si>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</si>
  <si>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</si>
  <si>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</si>
  <si>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</si>
  <si>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</si>
  <si>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</si>
  <si>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</si>
  <si>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</si>
  <si>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</si>
  <si>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</si>
  <si>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</si>
  <si>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</si>
  <si>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</si>
  <si>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</si>
  <si>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</si>
  <si>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</si>
  <si>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</si>
  <si>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</si>
  <si>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</si>
  <si>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</si>
  <si>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</si>
  <si>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</si>
  <si>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</si>
  <si>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</si>
  <si>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</si>
  <si>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</si>
  <si>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</si>
  <si>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</si>
  <si>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</si>
  <si>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</si>
  <si>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</si>
  <si>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</si>
  <si>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</si>
  <si>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</si>
  <si>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</si>
  <si>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</si>
  <si>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</si>
  <si>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</si>
  <si>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</si>
  <si>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</si>
  <si>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</si>
  <si>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</si>
  <si>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</si>
  <si>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</si>
  <si>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</si>
  <si>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</si>
  <si>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</si>
  <si>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</si>
  <si>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</si>
  <si>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</si>
  <si>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</si>
  <si>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</si>
  <si>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</si>
  <si>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</si>
  <si>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</si>
  <si>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</si>
  <si>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</si>
  <si>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</si>
  <si>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</si>
  <si>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</si>
  <si>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</si>
  <si>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</si>
  <si>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</si>
  <si>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</si>
  <si>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</si>
  <si>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</si>
  <si>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</si>
  <si>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</si>
  <si>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</si>
  <si>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</si>
  <si>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</si>
  <si>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</si>
  <si>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</si>
  <si>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</si>
  <si>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</si>
  <si>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</si>
  <si>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</si>
  <si>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</si>
  <si>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</si>
  <si>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</si>
  <si>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</si>
  <si>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</si>
  <si>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</si>
  <si>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</si>
  <si>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</si>
  <si>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</si>
  <si>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</si>
  <si>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</si>
  <si>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</si>
  <si>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</si>
  <si>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</si>
  <si>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</si>
  <si>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</si>
  <si>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</si>
  <si>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</si>
  <si>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</si>
  <si>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</si>
  <si>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</si>
  <si>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</si>
  <si>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</si>
  <si>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</si>
  <si>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</si>
  <si>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</si>
  <si>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</si>
  <si>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</si>
  <si>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</si>
  <si>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</si>
  <si>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</si>
  <si>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</si>
  <si>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</si>
  <si>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</si>
  <si>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</si>
  <si>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</si>
  <si>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</si>
  <si>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</si>
  <si>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</si>
  <si>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</si>
  <si>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</si>
  <si>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</si>
  <si>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</si>
  <si>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</si>
  <si>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</si>
  <si>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</si>
  <si>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</si>
  <si>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</si>
  <si>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</si>
  <si>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</si>
  <si>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</si>
  <si>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</si>
  <si>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</si>
  <si>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</si>
  <si>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</si>
  <si>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</si>
  <si>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</si>
  <si>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</si>
  <si>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</si>
  <si>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</si>
  <si>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</si>
  <si>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</si>
  <si>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</si>
  <si>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</si>
  <si>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</si>
  <si>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</si>
  <si>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</si>
  <si>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</si>
  <si>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</si>
  <si>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</si>
  <si>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</si>
  <si>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</si>
  <si>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</si>
  <si>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</si>
  <si>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</si>
  <si>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</si>
  <si>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</si>
  <si>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</si>
  <si>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</si>
  <si>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</si>
  <si>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</si>
  <si>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</si>
  <si>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</si>
  <si>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</si>
  <si>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</si>
  <si>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</si>
  <si>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</si>
  <si>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</si>
  <si>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</si>
  <si>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</si>
  <si>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</si>
  <si>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</si>
  <si>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</si>
  <si>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</si>
  <si>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</si>
  <si>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</si>
  <si>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</si>
  <si>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</si>
  <si>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</si>
  <si>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</si>
  <si>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</si>
  <si>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</si>
  <si>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</si>
  <si>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</si>
  <si>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</si>
  <si>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</si>
  <si>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</si>
  <si>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</si>
  <si>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</si>
  <si>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</si>
  <si>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</si>
  <si>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</si>
  <si>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</si>
  <si>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</si>
  <si>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</si>
  <si>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</si>
  <si>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</si>
  <si>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</si>
  <si>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</si>
  <si>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</si>
  <si>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</si>
  <si>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</si>
  <si>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</si>
  <si>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</si>
  <si>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</si>
  <si>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</si>
  <si>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</si>
  <si>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</si>
  <si>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</si>
  <si>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</si>
  <si>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</si>
  <si>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</si>
  <si>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</si>
  <si>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</si>
  <si>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</si>
  <si>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</si>
  <si>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</si>
  <si>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</si>
  <si>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</si>
  <si>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</si>
  <si>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</si>
  <si>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</si>
  <si>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</si>
  <si>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</si>
  <si>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</si>
  <si>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</si>
  <si>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</si>
  <si>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</si>
  <si>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</si>
  <si>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</si>
  <si>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</si>
  <si>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</si>
  <si>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</si>
  <si>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</si>
  <si>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</si>
  <si>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</si>
  <si>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</si>
  <si>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</si>
  <si>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</si>
  <si>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</si>
  <si>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</si>
  <si>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</si>
  <si>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</si>
  <si>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</si>
  <si>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</si>
  <si>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</si>
  <si>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</si>
  <si>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</si>
  <si>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</si>
  <si>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</si>
  <si>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</si>
  <si>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</si>
  <si>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</si>
  <si>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</si>
  <si>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</si>
  <si>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</si>
  <si>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</si>
  <si>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</si>
  <si>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</si>
  <si>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</si>
  <si>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</si>
  <si>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</si>
  <si>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</si>
  <si>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</si>
  <si>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</si>
  <si>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</si>
  <si>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</si>
  <si>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</si>
  <si>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</si>
  <si>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</si>
  <si>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</si>
  <si>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</si>
  <si>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</si>
  <si>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</si>
  <si>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</si>
  <si>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</si>
  <si>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</si>
  <si>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</si>
  <si>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</si>
  <si>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</si>
  <si>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</si>
  <si>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</si>
  <si>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</si>
  <si>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</si>
  <si>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</si>
  <si>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</si>
  <si>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</si>
  <si>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</si>
  <si>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</si>
  <si>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</si>
  <si>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</si>
  <si>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</si>
  <si>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</si>
  <si>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</si>
  <si>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</si>
  <si>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</si>
  <si>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</si>
  <si>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</si>
  <si>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</si>
  <si>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</si>
  <si>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</si>
  <si>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</si>
  <si>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</si>
  <si>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</si>
  <si>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</si>
  <si>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</si>
  <si>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</si>
  <si>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</si>
  <si>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</si>
  <si>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</si>
  <si>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</si>
  <si>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</si>
  <si>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</si>
  <si>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</si>
  <si>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</si>
  <si>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</si>
  <si>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</si>
  <si>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</si>
  <si>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</si>
  <si>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</si>
  <si>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</si>
  <si>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</si>
  <si>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</si>
  <si>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</si>
  <si>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</si>
  <si>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</si>
  <si>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</si>
  <si>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</si>
  <si>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</si>
  <si>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</si>
  <si>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</si>
  <si>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</si>
  <si>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</si>
  <si>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</si>
  <si>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</si>
  <si>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</si>
  <si>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</si>
  <si>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</si>
  <si>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</si>
  <si>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</si>
  <si>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</si>
  <si>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</si>
  <si>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</si>
  <si>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</si>
  <si>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</si>
  <si>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</si>
  <si>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</si>
  <si>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</si>
  <si>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</si>
  <si>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</si>
  <si>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</si>
  <si>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</si>
  <si>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</si>
  <si>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</si>
  <si>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</si>
  <si>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</si>
  <si>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</si>
  <si>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</si>
  <si>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</si>
  <si>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</si>
  <si>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</si>
  <si>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</si>
  <si>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</si>
  <si>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</si>
  <si>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</si>
  <si>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</si>
  <si>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</si>
  <si>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</si>
  <si>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</si>
  <si>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</si>
  <si>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</si>
  <si>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</si>
  <si>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</si>
  <si>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</si>
  <si>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</si>
  <si>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</si>
  <si>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</si>
  <si>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</si>
  <si>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</si>
  <si>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</si>
  <si>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</si>
  <si>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</si>
  <si>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</si>
  <si>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</si>
  <si>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</si>
  <si>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</si>
  <si>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</si>
  <si>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</si>
  <si>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</si>
  <si>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</si>
  <si>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</si>
  <si>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</si>
  <si>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</si>
  <si>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</si>
  <si>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</si>
  <si>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</si>
  <si>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</si>
  <si>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</si>
  <si>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</si>
  <si>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</si>
  <si>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</si>
  <si>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</si>
  <si>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</si>
  <si>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</si>
  <si>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</si>
  <si>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</si>
  <si>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</si>
  <si>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</si>
  <si>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</si>
  <si>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</si>
  <si>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</si>
  <si>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</si>
  <si>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</si>
  <si>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</si>
  <si>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</si>
  <si>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</si>
  <si>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</si>
  <si>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</si>
  <si>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</si>
  <si>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</si>
  <si>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</si>
  <si>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</si>
  <si>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</si>
  <si>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</si>
  <si>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</si>
  <si>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</si>
  <si>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</si>
  <si>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</si>
  <si>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</si>
  <si>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</si>
  <si>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</si>
  <si>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</si>
  <si>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</si>
  <si>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</si>
  <si>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</si>
  <si>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</si>
  <si>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</si>
  <si>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</si>
  <si>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</si>
  <si>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</si>
  <si>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</si>
  <si>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</si>
  <si>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</si>
  <si>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</si>
  <si>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</si>
  <si>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</si>
  <si>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</si>
  <si>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</si>
  <si>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</si>
  <si>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</si>
  <si>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</si>
  <si>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</si>
  <si>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</si>
  <si>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</si>
  <si>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</si>
  <si>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</si>
  <si>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</si>
  <si>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</si>
  <si>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</si>
  <si>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</si>
  <si>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</si>
  <si>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</si>
  <si>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</si>
  <si>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</si>
  <si>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</si>
  <si>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</si>
  <si>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</si>
  <si>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</si>
  <si>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</si>
  <si>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</si>
  <si>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</si>
  <si>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</si>
  <si>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</si>
  <si>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</si>
  <si>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</si>
  <si>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</si>
  <si>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</si>
  <si>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</si>
  <si>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</si>
  <si>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</si>
  <si>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</si>
  <si>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</si>
  <si>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</si>
  <si>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</si>
  <si>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</si>
  <si>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</si>
  <si>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</si>
  <si>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</si>
  <si>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</si>
  <si>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</si>
  <si>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</si>
  <si>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</si>
  <si>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</si>
  <si>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</si>
  <si>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</si>
  <si>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</si>
  <si>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</si>
  <si>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</si>
  <si>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</si>
  <si>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</si>
  <si>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</si>
  <si>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</si>
  <si>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</si>
  <si>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</si>
  <si>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</si>
  <si>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</si>
  <si>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</si>
  <si>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</si>
  <si>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</si>
  <si>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</si>
  <si>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</si>
  <si>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</si>
  <si>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</si>
  <si>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</si>
  <si>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</si>
  <si>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</si>
  <si>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</si>
  <si>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</si>
  <si>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</si>
  <si>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</si>
  <si>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</si>
  <si>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</si>
  <si>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</si>
  <si>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</si>
  <si>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</si>
  <si>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</si>
  <si>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</si>
  <si>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</si>
  <si>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</si>
  <si>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</si>
  <si>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</si>
  <si>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</si>
  <si>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</si>
  <si>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</si>
  <si>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</si>
  <si>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</si>
  <si>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</si>
  <si>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</si>
  <si>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</si>
  <si>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</si>
  <si>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</si>
  <si>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</si>
  <si>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</si>
  <si>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</si>
  <si>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</si>
  <si>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</si>
  <si>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</si>
  <si>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</si>
  <si>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</si>
  <si>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</si>
  <si>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</si>
  <si>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</si>
  <si>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</si>
  <si>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</si>
  <si>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</si>
  <si>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</si>
  <si>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</si>
  <si>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</si>
  <si>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</si>
  <si>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</si>
  <si>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</si>
  <si>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</si>
  <si>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</si>
  <si>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</si>
  <si>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</si>
  <si>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</si>
  <si>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</si>
  <si>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</si>
  <si>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</si>
  <si>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</si>
  <si>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</si>
  <si>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</si>
  <si>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</si>
  <si>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</si>
  <si>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</si>
  <si>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</si>
  <si>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</si>
  <si>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</si>
  <si>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</si>
  <si>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</si>
  <si>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</si>
  <si>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</si>
  <si>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</si>
  <si>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</si>
  <si>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</si>
  <si>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</si>
  <si>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</si>
  <si>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</si>
  <si>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</si>
  <si>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</si>
  <si>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</si>
  <si>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</si>
  <si>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</si>
  <si>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</si>
  <si>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</si>
  <si>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</si>
  <si>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</si>
  <si>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</si>
  <si>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</si>
  <si>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</si>
  <si>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</si>
  <si>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</si>
  <si>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</si>
  <si>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</si>
  <si>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</si>
  <si>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</si>
  <si>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</si>
  <si>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</si>
  <si>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</si>
  <si>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</si>
  <si>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</si>
  <si>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</si>
  <si>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</si>
  <si>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</si>
  <si>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</si>
  <si>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</si>
  <si>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</si>
  <si>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</si>
  <si>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</si>
  <si>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</si>
  <si>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</si>
  <si>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</si>
  <si>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</si>
  <si>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</si>
  <si>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</si>
  <si>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</si>
  <si>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</si>
  <si>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</si>
  <si>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</si>
  <si>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</si>
  <si>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</si>
  <si>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</si>
  <si>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</si>
  <si>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</si>
  <si>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</si>
  <si>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</si>
  <si>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</si>
  <si>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</si>
  <si>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</si>
  <si>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</si>
  <si>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</si>
  <si>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</si>
  <si>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</si>
  <si>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</si>
  <si>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</si>
  <si>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</si>
  <si>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</si>
  <si>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</si>
  <si>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</si>
  <si>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</si>
  <si>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</si>
  <si>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</si>
  <si>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</si>
  <si>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</si>
  <si>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</si>
  <si>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</si>
  <si>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</si>
  <si>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</si>
  <si>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</si>
  <si>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</si>
  <si>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</si>
  <si>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</si>
  <si>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</si>
  <si>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</si>
  <si>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</si>
  <si>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</si>
  <si>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</si>
  <si>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</si>
  <si>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</si>
  <si>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</si>
  <si>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</si>
  <si>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</si>
  <si>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</si>
  <si>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</si>
  <si>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</si>
  <si>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</si>
  <si>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</si>
  <si>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</si>
  <si>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</si>
  <si>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</si>
  <si>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</si>
  <si>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</si>
  <si>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</si>
  <si>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</si>
  <si>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</si>
  <si>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</si>
  <si>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</si>
  <si>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</si>
  <si>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</si>
  <si>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</si>
  <si>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</si>
  <si>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</si>
  <si>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</si>
  <si>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</si>
  <si>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</si>
  <si>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</si>
  <si>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</si>
  <si>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</si>
  <si>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</si>
  <si>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</si>
  <si>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</si>
  <si>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</si>
  <si>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</si>
  <si>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</si>
  <si>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</si>
  <si>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</si>
  <si>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</si>
  <si>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</si>
  <si>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</si>
  <si>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</si>
  <si>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</si>
  <si>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</si>
  <si>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</si>
  <si>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</si>
  <si>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</si>
  <si>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</si>
  <si>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</si>
  <si>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</si>
  <si>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</si>
  <si>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</si>
  <si>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</si>
  <si>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</si>
  <si>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</si>
  <si>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</si>
  <si>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</si>
  <si>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</si>
  <si>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</si>
  <si>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</si>
  <si>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</si>
  <si>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</si>
  <si>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</si>
  <si>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</si>
  <si>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</si>
  <si>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</si>
  <si>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</si>
  <si>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</si>
  <si>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</si>
  <si>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</si>
  <si>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</si>
  <si>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</si>
  <si>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</si>
  <si>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</si>
  <si>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</si>
  <si>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</si>
  <si>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</si>
  <si>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</si>
  <si>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</si>
  <si>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</si>
  <si>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</si>
  <si>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</si>
  <si>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</si>
  <si>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</si>
  <si>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</si>
  <si>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</si>
  <si>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</si>
  <si>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</si>
  <si>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</si>
  <si>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</si>
  <si>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</si>
  <si>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</si>
  <si>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</si>
  <si>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</si>
  <si>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</si>
  <si>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</si>
  <si>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</si>
  <si>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</si>
  <si>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</si>
  <si>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</si>
  <si>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</si>
  <si>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</si>
  <si>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</si>
  <si>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</si>
  <si>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</si>
  <si>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</si>
  <si>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</si>
  <si>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</si>
  <si>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</si>
  <si>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</si>
  <si>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</si>
  <si>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</si>
  <si>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</si>
  <si>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</si>
  <si>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</si>
  <si>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</si>
  <si>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</si>
  <si>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</si>
  <si>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</si>
  <si>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</si>
  <si>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</si>
  <si>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</si>
  <si>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</si>
  <si>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</si>
  <si>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</si>
  <si>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</si>
  <si>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</si>
  <si>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</si>
  <si>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</si>
  <si>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</si>
  <si>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</si>
  <si>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</si>
  <si>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</si>
  <si>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</si>
  <si>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</si>
  <si>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</si>
  <si>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</si>
  <si>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</si>
  <si>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</si>
  <si>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</si>
  <si>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</si>
  <si>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</si>
  <si>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</si>
  <si>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</si>
  <si>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</si>
  <si>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</si>
  <si>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</si>
  <si>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</si>
  <si>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</si>
  <si>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</si>
  <si>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</si>
  <si>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</si>
  <si>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</si>
  <si>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</si>
  <si>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</si>
  <si>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</si>
  <si>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</si>
  <si>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</si>
  <si>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</si>
  <si>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</si>
  <si>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</si>
  <si>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</si>
  <si>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</si>
  <si>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</si>
  <si>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</si>
  <si>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</si>
  <si>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</si>
  <si>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</si>
  <si>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</si>
  <si>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</si>
  <si>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</si>
  <si>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</si>
  <si>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</si>
  <si>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</si>
  <si>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</si>
  <si>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</si>
  <si>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</si>
  <si>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</si>
  <si>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</si>
  <si>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</si>
  <si>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</si>
  <si>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</si>
  <si>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</si>
  <si>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</si>
  <si>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</si>
  <si>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</si>
  <si>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</si>
  <si>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</si>
  <si>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</si>
  <si>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</si>
  <si>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</si>
  <si>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</si>
  <si>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</si>
  <si>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</si>
  <si>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</si>
  <si>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</si>
  <si>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</si>
  <si>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</si>
  <si>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</si>
  <si>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</si>
  <si>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</si>
  <si>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</si>
  <si>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</si>
  <si>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</si>
  <si>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</si>
  <si>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</si>
  <si>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</si>
  <si>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</si>
  <si>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</si>
  <si>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</si>
  <si>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</si>
  <si>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</si>
  <si>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</si>
  <si>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</si>
  <si>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</si>
  <si>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</si>
  <si>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</si>
  <si>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</si>
  <si>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</si>
  <si>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</si>
  <si>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</si>
  <si>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</si>
  <si>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</si>
  <si>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</si>
  <si>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</si>
  <si>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</si>
  <si>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</si>
  <si>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</si>
  <si>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</si>
  <si>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</si>
  <si>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</si>
  <si>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</si>
  <si>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</si>
  <si>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</si>
  <si>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</si>
  <si>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</si>
  <si>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</si>
  <si>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</si>
  <si>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</si>
  <si>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</si>
  <si>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</si>
  <si>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</si>
  <si>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</si>
  <si>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</si>
  <si>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</si>
  <si>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</si>
  <si>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</si>
  <si>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</si>
  <si>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</si>
  <si>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</si>
  <si>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</si>
  <si>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</si>
  <si>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</si>
  <si>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</si>
  <si>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</si>
  <si>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</si>
  <si>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</si>
  <si>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</si>
  <si>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</si>
  <si>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</si>
  <si>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</si>
  <si>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</si>
  <si>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</si>
  <si>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</si>
  <si>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</si>
  <si>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</si>
  <si>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</si>
  <si>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</si>
  <si>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</si>
  <si>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</si>
  <si>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</si>
  <si>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</si>
  <si>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</si>
  <si>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</si>
  <si>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</si>
  <si>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</si>
  <si>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</si>
  <si>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</si>
  <si>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</si>
  <si>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</si>
  <si>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</si>
  <si>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</si>
  <si>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</si>
  <si>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</si>
  <si>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</si>
  <si>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</si>
  <si>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</si>
  <si>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</si>
  <si>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</si>
  <si>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</si>
  <si>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</si>
  <si>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</si>
  <si>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</si>
  <si>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</si>
  <si>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</si>
  <si>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</si>
  <si>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</si>
  <si>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</si>
  <si>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</si>
  <si>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</si>
  <si>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</si>
  <si>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</si>
  <si>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</si>
  <si>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</si>
  <si>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</si>
  <si>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</si>
  <si>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</si>
  <si>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</si>
  <si>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</si>
  <si>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</si>
  <si>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</si>
  <si>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</si>
  <si>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</si>
  <si>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</si>
  <si>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</si>
  <si>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</si>
  <si>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</si>
  <si>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</si>
  <si>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</si>
  <si>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</si>
  <si>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</si>
  <si>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</si>
  <si>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</si>
  <si>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</si>
  <si>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</si>
  <si>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</si>
  <si>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</si>
  <si>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</si>
  <si>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</si>
  <si>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</si>
  <si>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</si>
  <si>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</si>
  <si>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</si>
  <si>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</si>
  <si>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</si>
  <si>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</si>
  <si>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</si>
  <si>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</si>
  <si>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</si>
  <si>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</si>
  <si>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</si>
  <si>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</si>
  <si>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</si>
  <si>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</si>
  <si>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</si>
  <si>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</si>
  <si>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</si>
  <si>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</si>
  <si>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</si>
  <si>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</si>
  <si>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</si>
  <si>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</si>
  <si>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</si>
  <si>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</si>
  <si>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</si>
  <si>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</si>
  <si>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</si>
  <si>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</si>
  <si>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</si>
  <si>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</si>
  <si>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</si>
  <si>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</si>
  <si>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</si>
  <si>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</si>
  <si>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</si>
  <si>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</si>
  <si>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</si>
  <si>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</si>
  <si>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</si>
  <si>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</si>
  <si>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</si>
  <si>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</si>
  <si>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</si>
  <si>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</si>
  <si>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</si>
  <si>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</si>
  <si>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</si>
  <si>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</si>
  <si>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</si>
  <si>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</si>
  <si>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</si>
  <si>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</si>
  <si>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</si>
  <si>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</si>
  <si>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</si>
  <si>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</si>
  <si>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</si>
  <si>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</si>
  <si>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</si>
  <si>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</si>
  <si>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</si>
  <si>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</si>
  <si>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</si>
  <si>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</si>
  <si>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</si>
  <si>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</si>
  <si>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</si>
  <si>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</si>
  <si>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</si>
  <si>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</si>
  <si>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</si>
  <si>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</si>
  <si>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</si>
  <si>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</si>
  <si>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</si>
  <si>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</si>
  <si>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</si>
  <si>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</si>
  <si>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</si>
  <si>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</si>
  <si>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</si>
  <si>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</si>
  <si>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</si>
  <si>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</si>
  <si>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</si>
  <si>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</si>
  <si>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</si>
  <si>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</si>
  <si>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</si>
  <si>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</si>
  <si>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</si>
  <si>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</si>
  <si>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</si>
  <si>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</si>
  <si>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</si>
  <si>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</si>
  <si>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</si>
  <si>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</si>
  <si>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</si>
  <si>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</si>
  <si>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</si>
  <si>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</si>
  <si>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</si>
  <si>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</si>
  <si>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</si>
  <si>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</si>
  <si>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</si>
  <si>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</si>
  <si>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</si>
  <si>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</si>
  <si>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</si>
  <si>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</si>
  <si>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</si>
  <si>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</si>
  <si>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</si>
  <si>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</si>
  <si>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</si>
  <si>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</si>
  <si>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</si>
  <si>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</si>
  <si>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</si>
  <si>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</si>
  <si>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</si>
  <si>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</si>
  <si>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</si>
  <si>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</si>
  <si>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</si>
  <si>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</si>
  <si>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</si>
  <si>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</si>
  <si>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</si>
  <si>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</si>
  <si>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</si>
  <si>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</si>
  <si>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</si>
  <si>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</si>
  <si>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</si>
  <si>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</si>
  <si>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</si>
  <si>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</si>
  <si>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</si>
  <si>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</si>
  <si>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</si>
  <si>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</si>
  <si>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</si>
  <si>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</si>
  <si>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</si>
  <si>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</si>
  <si>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</si>
  <si>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</si>
  <si>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</si>
  <si>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</si>
  <si>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</si>
  <si>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</si>
  <si>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</si>
  <si>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</si>
  <si>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</si>
  <si>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</si>
  <si>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</si>
  <si>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</si>
  <si>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</si>
  <si>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</si>
  <si>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</si>
  <si>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</si>
  <si>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</si>
  <si>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</si>
  <si>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</si>
  <si>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</si>
  <si>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</si>
  <si>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</si>
  <si>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</si>
  <si>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</si>
  <si>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</si>
  <si>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</si>
  <si>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</si>
  <si>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</si>
  <si>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</si>
  <si>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</si>
  <si>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</si>
  <si>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</si>
  <si>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</si>
  <si>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</si>
  <si>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</si>
  <si>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</si>
  <si>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</si>
  <si>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</si>
  <si>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</si>
  <si>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</si>
  <si>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</si>
  <si>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</si>
  <si>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</si>
  <si>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</si>
  <si>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</si>
  <si>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</si>
  <si>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</si>
  <si>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</si>
  <si>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</si>
  <si>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</si>
  <si>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</si>
  <si>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</si>
  <si>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</si>
  <si>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</si>
  <si>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</si>
  <si>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</si>
  <si>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</si>
  <si>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</si>
  <si>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</si>
  <si>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</si>
  <si>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</si>
  <si>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</si>
  <si>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</si>
  <si>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</si>
  <si>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</si>
  <si>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</si>
  <si>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</si>
  <si>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</si>
  <si>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</si>
  <si>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</si>
  <si>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</si>
  <si>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</si>
  <si>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</si>
  <si>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</si>
  <si>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</si>
  <si>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</si>
  <si>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</si>
  <si>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</si>
  <si>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</si>
  <si>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</si>
  <si>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</si>
  <si>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</si>
  <si>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</si>
  <si>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</si>
  <si>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</si>
  <si>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</si>
  <si>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</si>
  <si>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</si>
  <si>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</si>
  <si>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</si>
  <si>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</si>
  <si>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</si>
  <si>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</si>
  <si>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</si>
  <si>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</si>
  <si>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</si>
  <si>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</si>
  <si>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</si>
  <si>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</si>
  <si>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</si>
  <si>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</si>
  <si>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</si>
  <si>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</si>
  <si>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</si>
  <si>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</si>
  <si>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</si>
  <si>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</si>
  <si>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</si>
  <si>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</si>
  <si>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</si>
  <si>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</si>
  <si>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</si>
  <si>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</si>
  <si>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</si>
  <si>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</si>
  <si>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</si>
  <si>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</si>
  <si>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</si>
  <si>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</si>
  <si>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</si>
  <si>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</si>
  <si>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</si>
  <si>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</si>
  <si>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</si>
  <si>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</si>
  <si>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</si>
  <si>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</si>
  <si>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</si>
  <si>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</si>
  <si>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</si>
  <si>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</si>
  <si>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</si>
  <si>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</si>
  <si>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</si>
  <si>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</si>
  <si>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</si>
  <si>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</si>
  <si>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</si>
  <si>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</si>
  <si>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</si>
  <si>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</si>
  <si>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</si>
  <si>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</si>
  <si>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</si>
  <si>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</si>
  <si>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</si>
  <si>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</si>
  <si>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</si>
  <si>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</si>
  <si>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</si>
  <si>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</si>
  <si>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</si>
  <si>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</si>
  <si>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</si>
  <si>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</si>
  <si>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</si>
  <si>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</si>
  <si>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</si>
  <si>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</si>
  <si>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</si>
  <si>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</si>
  <si>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</si>
  <si>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</si>
  <si>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</si>
  <si>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</si>
  <si>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</si>
  <si>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</si>
  <si>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</si>
  <si>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</si>
  <si>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</si>
  <si>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</si>
  <si>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</si>
  <si>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</si>
  <si>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</si>
  <si>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</si>
  <si>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</si>
  <si>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</si>
  <si>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</si>
  <si>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</si>
  <si>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</si>
  <si>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</si>
  <si>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</si>
  <si>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</si>
  <si>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</si>
  <si>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</si>
  <si>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</si>
  <si>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</si>
  <si>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</si>
  <si>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</si>
  <si>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</si>
  <si>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</si>
  <si>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</si>
  <si>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</si>
  <si>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</si>
  <si>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</si>
  <si>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</si>
  <si>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</si>
  <si>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</si>
  <si>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</si>
  <si>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</si>
  <si>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</si>
  <si>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</si>
  <si>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</si>
  <si>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</si>
  <si>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</si>
  <si>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</si>
  <si>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</si>
  <si>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</si>
  <si>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</si>
  <si>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</si>
  <si>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</si>
  <si>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</si>
  <si>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</si>
  <si>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</si>
  <si>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</si>
  <si>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</si>
  <si>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</si>
  <si>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</si>
  <si>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</si>
  <si>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</si>
  <si>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</si>
  <si>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</si>
  <si>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</si>
  <si>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</si>
  <si>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</si>
  <si>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</si>
  <si>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</si>
  <si>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</si>
  <si>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</si>
  <si>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</si>
  <si>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</si>
  <si>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</si>
  <si>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</si>
  <si>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</si>
  <si>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</si>
  <si>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</si>
  <si>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</si>
  <si>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</si>
  <si>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</si>
  <si>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</si>
  <si>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</si>
  <si>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</si>
  <si>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</si>
  <si>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</si>
  <si>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</si>
  <si>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</si>
  <si>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</si>
  <si>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</si>
  <si>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</si>
  <si>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</si>
  <si>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</si>
  <si>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</si>
  <si>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</si>
  <si>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</si>
  <si>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</si>
  <si>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</si>
  <si>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</si>
  <si>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</si>
  <si>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</si>
  <si>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</si>
  <si>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</si>
  <si>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</si>
  <si>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</si>
  <si>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</si>
  <si>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</si>
  <si>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</si>
  <si>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</si>
  <si>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</si>
  <si>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</si>
  <si>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</si>
  <si>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</si>
  <si>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</si>
  <si>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</si>
  <si>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</si>
  <si>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</si>
  <si>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</si>
  <si>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</si>
  <si>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</si>
  <si>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</si>
  <si>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</si>
  <si>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</si>
  <si>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</si>
  <si>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</si>
  <si>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</si>
  <si>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</si>
  <si>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</si>
  <si>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</si>
  <si>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</si>
  <si>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</si>
  <si>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</si>
  <si>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</si>
  <si>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</si>
  <si>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</si>
  <si>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</si>
  <si>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</si>
  <si>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</si>
  <si>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</si>
  <si>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</si>
  <si>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</si>
  <si>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</si>
  <si>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</si>
  <si>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</si>
  <si>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</si>
  <si>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</si>
  <si>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</si>
  <si>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</si>
  <si>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</si>
  <si>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</si>
  <si>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</si>
  <si>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</si>
  <si>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</si>
  <si>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</si>
  <si>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</si>
  <si>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</si>
  <si>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</si>
  <si>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</si>
  <si>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</si>
  <si>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</si>
  <si>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</si>
  <si>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</si>
  <si>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</si>
  <si>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</si>
  <si>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</si>
  <si>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</si>
  <si>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</si>
  <si>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</si>
  <si>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</si>
  <si>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</si>
  <si>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</si>
  <si>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</si>
  <si>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</si>
  <si>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</si>
  <si>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</si>
  <si>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</si>
  <si>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</si>
  <si>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</si>
  <si>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</si>
  <si>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</si>
  <si>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</si>
  <si>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</si>
  <si>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</si>
  <si>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</si>
  <si>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</si>
  <si>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</si>
  <si>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</si>
  <si>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</si>
  <si>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</si>
  <si>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</si>
  <si>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</si>
  <si>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</si>
  <si>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</si>
  <si>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</si>
  <si>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</si>
  <si>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</si>
  <si>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</si>
  <si>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</si>
  <si>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</si>
  <si>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</si>
  <si>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</si>
  <si>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</si>
  <si>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</si>
  <si>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</si>
  <si>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</si>
  <si>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</si>
  <si>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</si>
  <si>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</si>
  <si>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</si>
  <si>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</si>
  <si>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</si>
  <si>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</si>
  <si>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</si>
  <si>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</si>
  <si>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</si>
  <si>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</si>
  <si>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</si>
  <si>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</si>
  <si>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</si>
  <si>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</si>
  <si>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</si>
  <si>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</si>
  <si>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</si>
  <si>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</si>
  <si>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</si>
  <si>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</si>
  <si>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</si>
  <si>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</si>
  <si>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</si>
  <si>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</si>
  <si>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</si>
  <si>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</si>
  <si>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</si>
  <si>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</si>
  <si>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</si>
  <si>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</si>
  <si>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</si>
  <si>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</si>
  <si>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</si>
  <si>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</si>
  <si>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</si>
  <si>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</si>
  <si>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</si>
  <si>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</si>
  <si>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</si>
  <si>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</si>
  <si>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</si>
  <si>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</si>
  <si>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</si>
  <si>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</si>
  <si>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</si>
  <si>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</si>
  <si>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</si>
  <si>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</si>
  <si>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</si>
  <si>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</si>
  <si>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</si>
  <si>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</si>
  <si>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</si>
  <si>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</si>
  <si>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</si>
  <si>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</si>
  <si>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</si>
  <si>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</si>
  <si>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</si>
  <si>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</si>
  <si>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</si>
  <si>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</si>
  <si>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</si>
  <si>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</si>
  <si>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</si>
  <si>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</si>
  <si>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</si>
  <si>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</si>
  <si>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</si>
  <si>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</si>
  <si>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</si>
  <si>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</si>
  <si>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</si>
  <si>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</si>
  <si>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</si>
  <si>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</si>
  <si>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</si>
  <si>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</si>
  <si>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</si>
  <si>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</si>
  <si>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</si>
  <si>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</si>
  <si>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</si>
  <si>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</si>
  <si>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</si>
  <si>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</si>
  <si>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</si>
  <si>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</si>
  <si>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</si>
  <si>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</si>
  <si>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</si>
  <si>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</si>
  <si>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</si>
  <si>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</si>
  <si>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</si>
  <si>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</si>
  <si>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</si>
  <si>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</si>
  <si>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</si>
  <si>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</si>
  <si>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</si>
  <si>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</si>
  <si>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</si>
  <si>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</si>
  <si>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</si>
  <si>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</si>
  <si>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</si>
  <si>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</si>
  <si>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</si>
  <si>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</si>
  <si>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</si>
  <si>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</si>
  <si>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</si>
  <si>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</si>
  <si>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</si>
  <si>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</si>
  <si>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</si>
  <si>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</si>
  <si>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</si>
  <si>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</si>
  <si>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</si>
  <si>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</si>
  <si>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</si>
  <si>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</si>
  <si>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</si>
  <si>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</si>
  <si>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</si>
  <si>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</si>
  <si>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</si>
  <si>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</si>
  <si>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</si>
  <si>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</si>
  <si>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</si>
  <si>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</si>
  <si>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</si>
  <si>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</si>
  <si>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</si>
  <si>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</si>
  <si>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</si>
  <si>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</si>
  <si>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</si>
  <si>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</si>
  <si>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</si>
  <si>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</si>
  <si>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</si>
  <si>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</si>
  <si>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</si>
  <si>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</si>
  <si>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</si>
  <si>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</si>
  <si>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</si>
  <si>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</si>
  <si>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</si>
  <si>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</si>
  <si>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</si>
  <si>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</si>
  <si>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</si>
  <si>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</si>
  <si>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</si>
  <si>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</si>
  <si>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</si>
  <si>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</si>
  <si>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</si>
  <si>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</si>
  <si>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</si>
  <si>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</si>
  <si>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</si>
  <si>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</si>
  <si>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</si>
  <si>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</si>
  <si>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</si>
  <si>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</si>
  <si>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</si>
  <si>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</si>
  <si>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</si>
  <si>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</si>
  <si>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</si>
  <si>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</si>
  <si>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</si>
  <si>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</si>
  <si>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</si>
  <si>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</si>
  <si>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</si>
  <si>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</si>
  <si>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</si>
  <si>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</si>
  <si>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</si>
  <si>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</si>
  <si>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</si>
  <si>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</si>
  <si>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</si>
  <si>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</si>
  <si>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</si>
  <si>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</si>
  <si>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</si>
  <si>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</si>
  <si>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</si>
  <si>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</si>
  <si>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</si>
  <si>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</si>
  <si>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</si>
  <si>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</si>
  <si>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</si>
  <si>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</si>
  <si>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</si>
  <si>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</si>
  <si>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</si>
  <si>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</si>
  <si>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</si>
  <si>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</si>
  <si>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</si>
  <si>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</si>
  <si>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</si>
  <si>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</si>
  <si>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</si>
  <si>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</si>
  <si>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</si>
  <si>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</si>
  <si>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</si>
  <si>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</si>
  <si>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</si>
  <si>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</si>
  <si>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</si>
  <si>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</si>
  <si>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</si>
  <si>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</si>
  <si>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</si>
  <si>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</si>
  <si>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</si>
  <si>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</si>
  <si>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</si>
  <si>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</si>
  <si>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</si>
  <si>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</si>
  <si>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</si>
  <si>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</si>
  <si>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</si>
  <si>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</si>
  <si>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</si>
  <si>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</si>
  <si>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</si>
  <si>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</si>
  <si>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</si>
  <si>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</si>
  <si>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</si>
  <si>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</si>
  <si>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</si>
  <si>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</si>
  <si>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</si>
  <si>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</si>
  <si>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</si>
  <si>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</si>
  <si>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</si>
  <si>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</si>
  <si>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</si>
  <si>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</si>
  <si>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</si>
  <si>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</si>
  <si>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</si>
  <si>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</si>
  <si>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</si>
  <si>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</si>
  <si>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</si>
  <si>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</si>
  <si>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</si>
  <si>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</si>
  <si>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</si>
  <si>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</si>
  <si>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</si>
  <si>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</si>
  <si>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</si>
  <si>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</si>
  <si>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</si>
  <si>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</si>
  <si>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</si>
  <si>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</si>
  <si>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</si>
  <si>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</si>
  <si>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</si>
  <si>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</si>
  <si>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</si>
  <si>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</si>
  <si>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</si>
  <si>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</si>
  <si>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</si>
  <si>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</si>
  <si>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</si>
  <si>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</si>
  <si>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</si>
  <si>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</si>
  <si>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</si>
  <si>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</si>
  <si>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</si>
  <si>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</si>
  <si>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</si>
  <si>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</si>
  <si>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</si>
  <si>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</si>
  <si>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</si>
  <si>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</si>
  <si>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</si>
  <si>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</si>
  <si>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</si>
  <si>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</si>
  <si>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</si>
  <si>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</si>
  <si>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</si>
  <si>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</si>
  <si>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</si>
  <si>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</si>
  <si>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</si>
  <si>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</si>
  <si>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</si>
  <si>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</si>
  <si>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</si>
  <si>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</si>
  <si>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</si>
  <si>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</si>
  <si>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</si>
  <si>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</si>
  <si>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</si>
  <si>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</si>
  <si>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</si>
  <si>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</si>
  <si>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</si>
  <si>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</si>
  <si>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</si>
  <si>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</si>
  <si>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</si>
  <si>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</si>
  <si>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</si>
  <si>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</si>
  <si>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</si>
  <si>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</si>
  <si>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</si>
  <si>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</si>
  <si>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</si>
  <si>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</si>
  <si>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</si>
  <si>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</si>
  <si>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</si>
  <si>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</si>
  <si>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</si>
  <si>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</si>
  <si>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</si>
  <si>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</si>
  <si>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</si>
  <si>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</si>
  <si>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</si>
  <si>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</si>
  <si>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</si>
  <si>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</si>
  <si>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</si>
  <si>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</si>
  <si>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</si>
  <si>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</si>
  <si>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</si>
  <si>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</si>
  <si>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</si>
  <si>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</si>
  <si>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</si>
  <si>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</si>
  <si>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</si>
  <si>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</si>
  <si>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</si>
  <si>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</si>
  <si>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</si>
  <si>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</si>
  <si>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</si>
  <si>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</si>
  <si>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</si>
  <si>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</si>
  <si>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</si>
  <si>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</si>
  <si>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</si>
  <si>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</si>
  <si>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</si>
  <si>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</si>
  <si>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</si>
  <si>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</si>
  <si>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</si>
  <si>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</si>
  <si>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</si>
  <si>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</si>
  <si>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</si>
  <si>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</si>
  <si>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</si>
  <si>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</si>
  <si>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</si>
  <si>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</si>
  <si>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</si>
  <si>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</si>
  <si>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</si>
  <si>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</si>
  <si>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</si>
  <si>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</si>
  <si>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</si>
  <si>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</si>
  <si>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</si>
  <si>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</si>
  <si>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</si>
  <si>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</si>
  <si>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</si>
  <si>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</si>
  <si>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</si>
  <si>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</si>
  <si>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</si>
  <si>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</si>
  <si>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</si>
  <si>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</si>
  <si>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</si>
  <si>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</si>
  <si>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</si>
  <si>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</si>
  <si>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</si>
  <si>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</si>
  <si>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</si>
  <si>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</si>
  <si>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</si>
  <si>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</si>
  <si>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</si>
  <si>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</si>
  <si>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</si>
  <si>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</si>
  <si>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</si>
  <si>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</si>
  <si>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</si>
  <si>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</si>
  <si>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</si>
  <si>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</si>
  <si>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</si>
  <si>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</si>
  <si>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</si>
  <si>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</si>
  <si>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</si>
  <si>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</si>
  <si>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</si>
  <si>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</si>
  <si>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</si>
  <si>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</si>
  <si>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</si>
  <si>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</si>
  <si>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</si>
  <si>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</si>
  <si>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</si>
  <si>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</si>
  <si>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</si>
  <si>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</si>
  <si>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</si>
  <si>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</si>
  <si>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</si>
  <si>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</si>
  <si>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</si>
  <si>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</si>
  <si>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</si>
  <si>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</si>
  <si>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</si>
  <si>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</si>
  <si>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</si>
  <si>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</si>
  <si>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</si>
  <si>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</si>
  <si>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</si>
  <si>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</si>
  <si>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</si>
  <si>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</si>
  <si>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</si>
  <si>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</si>
  <si>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</si>
  <si>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</si>
  <si>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</si>
  <si>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</si>
  <si>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</si>
  <si>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</si>
  <si>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</si>
  <si>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</si>
  <si>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</si>
  <si>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</si>
  <si>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</si>
  <si>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</si>
  <si>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</si>
  <si>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</si>
  <si>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</si>
  <si>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</si>
  <si>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</si>
  <si>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</si>
  <si>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</si>
  <si>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</si>
  <si>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</si>
  <si>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</si>
  <si>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</si>
  <si>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</si>
  <si>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</si>
  <si>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</si>
  <si>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</si>
  <si>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</si>
  <si>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</si>
  <si>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</si>
  <si>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</si>
  <si>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</si>
  <si>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</si>
  <si>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</si>
  <si>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</si>
  <si>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</si>
  <si>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</si>
  <si>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</si>
  <si>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</si>
  <si>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</si>
  <si>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</si>
  <si>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</si>
  <si>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</si>
  <si>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</si>
  <si>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</si>
  <si>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</si>
  <si>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</si>
  <si>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</si>
  <si>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</si>
  <si>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</si>
  <si>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</si>
  <si>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</si>
  <si>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</si>
  <si>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</si>
  <si>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</si>
  <si>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</si>
  <si>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</si>
  <si>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</si>
  <si>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</si>
  <si>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</si>
  <si>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</si>
  <si>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</si>
  <si>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</si>
  <si>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</si>
  <si>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</si>
  <si>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</si>
  <si>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</si>
  <si>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</si>
  <si>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</si>
  <si>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</si>
  <si>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</si>
  <si>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</si>
  <si>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</si>
  <si>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</si>
  <si>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</si>
  <si>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</si>
  <si>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</si>
  <si>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</si>
  <si>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</si>
  <si>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</si>
  <si>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</si>
  <si>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</si>
  <si>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</si>
  <si>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</si>
  <si>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</si>
  <si>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</si>
  <si>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</si>
  <si>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</si>
  <si>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</si>
  <si>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</si>
  <si>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</si>
  <si>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</si>
  <si>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</si>
  <si>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</si>
  <si>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</si>
  <si>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</si>
  <si>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</si>
  <si>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</si>
  <si>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</si>
  <si>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</si>
  <si>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</si>
  <si>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</si>
  <si>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</si>
  <si>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</si>
  <si>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</si>
  <si>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</si>
  <si>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</si>
  <si>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</si>
  <si>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</si>
  <si>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</si>
  <si>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</si>
  <si>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</si>
  <si>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</si>
  <si>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</si>
  <si>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</si>
  <si>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</si>
  <si>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</si>
  <si>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</si>
  <si>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</si>
  <si>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</si>
  <si>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</si>
  <si>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</si>
  <si>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</si>
  <si>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</si>
  <si>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</si>
  <si>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</si>
  <si>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</si>
  <si>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</si>
  <si>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</si>
  <si>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</si>
  <si>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</si>
  <si>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</si>
  <si>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</si>
  <si>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</si>
  <si>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</si>
  <si>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</si>
  <si>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</si>
  <si>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</si>
  <si>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</si>
  <si>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</si>
  <si>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</si>
  <si>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</si>
  <si>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</si>
  <si>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</si>
  <si>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</si>
  <si>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</si>
  <si>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</si>
  <si>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</si>
  <si>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</si>
  <si>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</si>
  <si>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</si>
  <si>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</si>
  <si>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</si>
  <si>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</si>
  <si>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</si>
  <si>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</si>
  <si>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</si>
  <si>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</si>
  <si>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</si>
  <si>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</si>
  <si>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</si>
  <si>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</si>
  <si>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</si>
  <si>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</si>
  <si>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</si>
  <si>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</si>
  <si>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</si>
  <si>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</si>
  <si>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</si>
  <si>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</si>
  <si>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</si>
  <si>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</si>
  <si>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</si>
  <si>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</si>
  <si>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</si>
  <si>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</si>
  <si>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</si>
  <si>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</si>
  <si>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</si>
  <si>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</si>
  <si>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</si>
  <si>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</si>
  <si>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</si>
  <si>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</si>
  <si>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</si>
  <si>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</si>
  <si>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</si>
  <si>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</si>
  <si>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</si>
  <si>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</si>
  <si>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</si>
  <si>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</si>
  <si>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</si>
  <si>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</si>
  <si>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</si>
  <si>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</si>
  <si>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</si>
  <si>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</si>
  <si>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</si>
  <si>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</si>
  <si>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</si>
  <si>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</si>
  <si>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</si>
  <si>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</si>
  <si>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</si>
  <si>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</si>
  <si>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</si>
  <si>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</si>
  <si>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</si>
  <si>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</si>
  <si>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</si>
  <si>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</si>
  <si>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</si>
  <si>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</si>
  <si>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</si>
  <si>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</si>
  <si>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</si>
  <si>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</si>
  <si>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</si>
  <si>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</si>
  <si>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</si>
  <si>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</si>
  <si>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</si>
  <si>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</si>
  <si>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</si>
  <si>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</si>
  <si>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</si>
  <si>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</si>
  <si>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</si>
  <si>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</si>
  <si>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</si>
  <si>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</si>
  <si>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</si>
  <si>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</si>
  <si>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</si>
  <si>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</si>
  <si>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</si>
  <si>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</si>
  <si>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</si>
  <si>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</si>
  <si>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</si>
  <si>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</si>
  <si>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</si>
  <si>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</si>
  <si>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</si>
  <si>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</si>
  <si>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</si>
  <si>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</si>
  <si>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</si>
  <si>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</si>
  <si>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</si>
  <si>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</si>
  <si>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</si>
  <si>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</si>
  <si>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</si>
  <si>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</si>
  <si>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</si>
  <si>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</si>
  <si>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</si>
  <si>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</si>
  <si>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</si>
  <si>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</si>
  <si>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</si>
  <si>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</si>
  <si>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</si>
  <si>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</si>
  <si>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</si>
  <si>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</si>
  <si>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</si>
  <si>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</si>
  <si>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</si>
  <si>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</si>
  <si>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</si>
  <si>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</si>
  <si>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</si>
  <si>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</si>
  <si>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</si>
  <si>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</si>
  <si>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</si>
  <si>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</si>
  <si>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</si>
  <si>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</si>
  <si>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</si>
  <si>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</si>
  <si>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</si>
  <si>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</si>
  <si>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</si>
  <si>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</si>
  <si>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</si>
  <si>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</si>
  <si>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</si>
  <si>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</si>
  <si>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</si>
  <si>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</si>
  <si>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</si>
  <si>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</si>
  <si>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</si>
  <si>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</si>
  <si>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</si>
  <si>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</si>
  <si>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</si>
  <si>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</si>
  <si>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</si>
  <si>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</si>
  <si>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</si>
  <si>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</si>
  <si>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</si>
  <si>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</si>
  <si>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</si>
  <si>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</si>
  <si>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</si>
  <si>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</si>
  <si>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</si>
  <si>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</si>
  <si>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</si>
  <si>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</si>
  <si>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</si>
  <si>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</si>
  <si>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</si>
  <si>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</si>
  <si>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</si>
  <si>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</si>
  <si>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</si>
  <si>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</si>
  <si>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</si>
  <si>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</si>
  <si>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</si>
  <si>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</si>
  <si>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</si>
  <si>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</si>
  <si>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</si>
  <si>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</si>
  <si>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</si>
  <si>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</si>
  <si>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</si>
  <si>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</si>
  <si>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</si>
  <si>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</si>
  <si>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</si>
  <si>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</si>
  <si>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</si>
  <si>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</si>
  <si>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</si>
  <si>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</si>
  <si>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</si>
  <si>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</si>
  <si>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</si>
  <si>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</si>
  <si>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</si>
  <si>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</si>
  <si>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</si>
  <si>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</si>
  <si>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</si>
  <si>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</si>
  <si>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</si>
  <si>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</si>
  <si>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</si>
  <si>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</si>
  <si>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</si>
  <si>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</si>
  <si>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</si>
  <si>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</si>
  <si>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</si>
  <si>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</si>
  <si>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</si>
  <si>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</si>
  <si>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</si>
  <si>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</si>
  <si>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</si>
  <si>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</si>
  <si>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</si>
  <si>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</si>
  <si>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</si>
  <si>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</si>
  <si>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</si>
  <si>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</si>
  <si>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</si>
  <si>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</si>
  <si>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</si>
  <si>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</si>
  <si>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</si>
  <si>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</si>
  <si>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</si>
  <si>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</si>
  <si>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</si>
  <si>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</si>
  <si>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</si>
  <si>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</si>
  <si>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</si>
  <si>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</si>
  <si>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</si>
  <si>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</si>
  <si>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</si>
  <si>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</si>
  <si>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</si>
  <si>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</si>
  <si>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</si>
  <si>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</si>
  <si>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</si>
  <si>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</si>
  <si>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</si>
  <si>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</si>
  <si>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</si>
  <si>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</si>
  <si>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</si>
  <si>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</si>
  <si>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</si>
  <si>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</si>
  <si>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</si>
  <si>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</si>
  <si>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</si>
  <si>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</si>
  <si>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</si>
  <si>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</si>
  <si>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</si>
  <si>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</si>
  <si>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</si>
  <si>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</si>
  <si>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</si>
  <si>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</si>
  <si>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</si>
  <si>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</si>
  <si>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</si>
  <si>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</si>
  <si>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</si>
  <si>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</si>
  <si>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</si>
  <si>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</si>
  <si>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</si>
  <si>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Printec-DS Keyboard GmbH</t>
  </si>
  <si>
    <t>Zeppelinstrasse 11, DE-78256 Steißlingen</t>
  </si>
  <si>
    <t>Christoph Mueller</t>
  </si>
  <si>
    <t>christoph.mueller@printecds.com</t>
  </si>
  <si>
    <t>+4977388024113</t>
  </si>
  <si>
    <t>Quality Management Representative</t>
  </si>
  <si>
    <t>Downstream user</t>
  </si>
  <si>
    <t/>
  </si>
  <si>
    <t>DS104W CH-G USB BL</t>
  </si>
  <si>
    <t>65T-ES-TB-ATK CH SCHWEIZER-DEUTSCH</t>
  </si>
  <si>
    <t>102W MAUS US-ENGLISCH SCHUBLADE2 USB</t>
  </si>
  <si>
    <t>DS102W US M PS2-SUBD9  SCHUBLADE2 ENGLISCH</t>
  </si>
  <si>
    <t>DS102W US M PS2-SUBD9 BL-GR</t>
  </si>
  <si>
    <t>CHARMILLES TASTATUR</t>
  </si>
  <si>
    <t>DS83S US SILIKONTASTATUR US ENGLISCH</t>
  </si>
  <si>
    <t>SICOTAST S7</t>
  </si>
  <si>
    <t>KABEL PS2 MOLEX 1,5M GRAU</t>
  </si>
  <si>
    <t>KABEL USB 1,8M STECKER A -- B GRAU</t>
  </si>
  <si>
    <t>TASTENSATZ DS102W SCHWEIZERDEUTSCH</t>
  </si>
  <si>
    <t>not relevant</t>
  </si>
  <si>
    <t>Conformant</t>
  </si>
  <si>
    <t>CID000362</t>
  </si>
  <si>
    <t>DODUCO Contacts and Refining GmbH</t>
  </si>
  <si>
    <t>Hong Kong SAR</t>
  </si>
  <si>
    <t>Naoshima</t>
  </si>
  <si>
    <t>Castel San Pietro</t>
  </si>
  <si>
    <t>CID001977</t>
  </si>
  <si>
    <t>Umicore Brasil Ltda.</t>
  </si>
  <si>
    <t>Guarulhos</t>
  </si>
  <si>
    <t>Haryana</t>
  </si>
  <si>
    <t>CID002777</t>
  </si>
  <si>
    <t>SAXONIA Edelmetalle GmbH</t>
  </si>
  <si>
    <t>Halsbrücke</t>
  </si>
  <si>
    <t>Karnataka</t>
  </si>
  <si>
    <t>CID003195</t>
  </si>
  <si>
    <t>DS PRETECH Co., Ltd.</t>
  </si>
  <si>
    <t>Chopyeong-myeon</t>
  </si>
  <si>
    <t>CID000092</t>
  </si>
  <si>
    <t>CID000456</t>
  </si>
  <si>
    <t>Exotech Inc.</t>
  </si>
  <si>
    <t>Pompano Beach</t>
  </si>
  <si>
    <t>Maharashtra</t>
  </si>
  <si>
    <t>RFH Tantalum Smeltery Co., Ltd./Yanling Jincheng Tantalum &amp; Niobium Co., Ltd.</t>
  </si>
  <si>
    <t>CID002547</t>
  </si>
  <si>
    <t>H.C. Starck Hermsdorf GmbH</t>
  </si>
  <si>
    <t>Hermsdorf</t>
  </si>
  <si>
    <t>CID002847</t>
  </si>
  <si>
    <t>Power Resources Ltd.</t>
  </si>
  <si>
    <t>MACEDONIA, THE FORMER YUGOSLAV REPUBLIC OF</t>
  </si>
  <si>
    <t>Skopje</t>
  </si>
  <si>
    <t>CID000760</t>
  </si>
  <si>
    <t>Huichang Jinshunda Tin Co., Ltd.</t>
  </si>
  <si>
    <t>CID001758</t>
  </si>
  <si>
    <t>Soft Metais Ltda.</t>
  </si>
  <si>
    <t>Bebedouro</t>
  </si>
  <si>
    <t>CID002834</t>
  </si>
  <si>
    <t>Thai Nguyen Mining and Metallurgy Co., Ltd.</t>
  </si>
  <si>
    <t>Thai Nguyen</t>
  </si>
  <si>
    <t>CID002844</t>
  </si>
  <si>
    <t>HuiChang Hill Tin Industry Co., Ltd.</t>
  </si>
  <si>
    <t>CID002849</t>
  </si>
  <si>
    <t>Guanyang Guida Nonferrous Metal Smelting Plant</t>
  </si>
  <si>
    <t>Guanyang</t>
  </si>
  <si>
    <t>CID003379</t>
  </si>
  <si>
    <t>Ma'anshan Weitai Tin Co., Ltd.</t>
  </si>
  <si>
    <t>Maanshan</t>
  </si>
  <si>
    <t>CID000499</t>
  </si>
  <si>
    <t>Fujian Jinxin Tungsten Co., Ltd.</t>
  </si>
  <si>
    <t>Yanshi</t>
  </si>
  <si>
    <t>CID001889</t>
  </si>
  <si>
    <t>Tejing (Vietnam) Tungsten Co., Ltd.</t>
  </si>
  <si>
    <t>Halong City</t>
  </si>
  <si>
    <t>CID002095</t>
  </si>
  <si>
    <t>Xinhai Rendan Shaoguan Tungsten Co., Ltd.</t>
  </si>
  <si>
    <t>Shaoguan</t>
  </si>
  <si>
    <t>Asia Tungsten Products Vietnam Ltd</t>
  </si>
  <si>
    <t>CID002579</t>
  </si>
  <si>
    <t>Hunan Chuangda Vanadium Tungsten Co., Ltd. Wuji</t>
  </si>
  <si>
    <t>CID002830</t>
  </si>
  <si>
    <t>Xinfeng Huarui Tungsten &amp; Molybdenum New Material Co., Ltd.</t>
  </si>
  <si>
    <t>CID002843</t>
  </si>
  <si>
    <t>Woltech Korea Co., Ltd.</t>
  </si>
  <si>
    <t>CID003388</t>
  </si>
  <si>
    <t>KGETS Co., Ltd.</t>
  </si>
  <si>
    <t>Siheung-si</t>
  </si>
  <si>
    <t>RCOI confirmed as per RMAP</t>
  </si>
  <si>
    <t>CID002593</t>
  </si>
  <si>
    <t>PT Rajehan Ariq</t>
  </si>
  <si>
    <t>CFSI</t>
  </si>
  <si>
    <t>Bangka</t>
  </si>
  <si>
    <t>None, CFS Certified</t>
  </si>
  <si>
    <t>Excludes Covered Countries and CAHRA</t>
  </si>
  <si>
    <t>Includes Covered Countries and CAHRA</t>
  </si>
  <si>
    <t>Part or all material comes from Covered Country</t>
  </si>
  <si>
    <t>Includes CAHRA</t>
  </si>
  <si>
    <t>None, CFS certified</t>
  </si>
  <si>
    <t>Recycled/Scrap Only</t>
  </si>
  <si>
    <t>No action required as this SOR is conformant to RMAP standard</t>
  </si>
  <si>
    <t>No Action Required. This company is an eligible smelter and is conformant to the RMAP standard</t>
  </si>
  <si>
    <t>None, RMAP conformant</t>
  </si>
  <si>
    <t>No Action Required. This company is an eligible smelter and is conformant to the RMAP standard.</t>
  </si>
  <si>
    <t>No Action Required. This company is a legitimate smelter and is compliant to the RMAP protocol.</t>
  </si>
  <si>
    <t>Recycled</t>
  </si>
  <si>
    <t>Recycled etc.</t>
  </si>
  <si>
    <t>This smelter is RMI Conformant.
http://www.responsiblemineralsinitiative.org/gold-refiners-list/</t>
  </si>
  <si>
    <t>China</t>
  </si>
  <si>
    <t>This smelter is RMI Conformant.
http://www.responsiblemineralsinitiative.org/tungsten-smelters-list/</t>
  </si>
  <si>
    <t>info@cmsa.ch, theo.gautschi@cmsa.ch</t>
  </si>
  <si>
    <t>This smelter is not in conformant smelter list anymore. We are doing corrective actions to eliminate it from our product portfolios, WPME-FDSM,WPME-FISM</t>
  </si>
  <si>
    <t>CID000244</t>
  </si>
  <si>
    <t>Jiangxi Ketai Advanced Material Co., Ltd.</t>
  </si>
  <si>
    <t>Jiangxi</t>
  </si>
  <si>
    <t>CFSI VALIDATED</t>
  </si>
  <si>
    <t>CID000291</t>
  </si>
  <si>
    <t>Conghua Tantalum and Niobium Smeltry</t>
  </si>
  <si>
    <t>Conghua</t>
  </si>
  <si>
    <t>Guangdong</t>
  </si>
  <si>
    <t>Not coverd countries area</t>
  </si>
  <si>
    <t>This smelter is RMI Conformant.
http://www.responsiblemineralsinitiative.org/tin-smelters-list/</t>
  </si>
  <si>
    <t>CID000295</t>
  </si>
  <si>
    <t>Cooperativa Metalurgica de Rondônia Ltda.</t>
  </si>
  <si>
    <t>Rondonia</t>
  </si>
  <si>
    <t>CID000306</t>
  </si>
  <si>
    <t>CV Gita Pesona</t>
  </si>
  <si>
    <t>Pangkalan</t>
  </si>
  <si>
    <t>CID000315</t>
  </si>
  <si>
    <t>CV United Smelting</t>
  </si>
  <si>
    <t>415-872 Gaekok-ri Wolgok-myeon, Gimpo, Gyongki-do 606-28 Korea</t>
  </si>
  <si>
    <t>60-1 Otarube</t>
  </si>
  <si>
    <t>YAMAGUCHI</t>
  </si>
  <si>
    <t>yamaguce@dowa.co.jp</t>
  </si>
  <si>
    <t>―</t>
  </si>
  <si>
    <t>scrap</t>
  </si>
  <si>
    <t xml:space="preserve">(TAMURA CHEMICAL KOREA CO., LTD.)
LFSOLDER LF-204-15A
LFSOLDER LF-501-11KS
Copper contained in the zinc residue from AKITA ZINC SOLUTIONS CO., LTD. is used as a part of the raw material.
</t>
  </si>
  <si>
    <t>Bolivia</t>
  </si>
  <si>
    <t>This smelter is RMI Conformant.
http://www.responsiblemineralsinitiative.org/tantalum-smelters-list/</t>
  </si>
  <si>
    <t>Monitor CFSP Compliant smelter lists.</t>
  </si>
  <si>
    <t>Not disclosed per LBMA</t>
  </si>
  <si>
    <t>Listed as CFSP Compliant</t>
  </si>
  <si>
    <t>DRC,Burundi,Rwanda,Uganda</t>
  </si>
  <si>
    <t>Metallo Chimique</t>
  </si>
  <si>
    <t>CID001143</t>
  </si>
  <si>
    <t>Nieuwe Dreef 33</t>
  </si>
  <si>
    <t>2340 Beerse</t>
  </si>
  <si>
    <t>Mr.Mark Van Loon</t>
  </si>
  <si>
    <t>mark.vanloon@metallo.com</t>
  </si>
  <si>
    <t>CID001322</t>
  </si>
  <si>
    <t>Elemetal Refining, LLC</t>
  </si>
  <si>
    <t>Jackson</t>
  </si>
  <si>
    <t>Jalan Tengah, Dusun Lintang Rt.001/rw.001</t>
  </si>
  <si>
    <t>NURAINI</t>
  </si>
  <si>
    <t>nuraini@imligroup.com</t>
  </si>
  <si>
    <t>Indonesia</t>
  </si>
  <si>
    <t>(TAMURA CHEMICAL KOREA CO., LTD.)
LFSOLDER LF-204-15A
LFSOLDER LF-501-11KS</t>
  </si>
  <si>
    <t>PT Bangka Putra Karya</t>
  </si>
  <si>
    <t>CID001412</t>
  </si>
  <si>
    <t>Kawasan Industri Ketapang Pangkalpinan</t>
  </si>
  <si>
    <t>Kawasan Industri Ketapang Pangkalpinang</t>
  </si>
  <si>
    <t>Bangka &amp; Belitung</t>
  </si>
  <si>
    <t>Mr.Johnny Sisviandi</t>
  </si>
  <si>
    <t>jsisviandi@yahoo.com</t>
  </si>
  <si>
    <t>Pegantungan</t>
  </si>
  <si>
    <t>CID001434</t>
  </si>
  <si>
    <t>PT DS Jaya Abadi</t>
  </si>
  <si>
    <t>CID001438</t>
  </si>
  <si>
    <t>PT Eunindo Usaha Mandiri</t>
  </si>
  <si>
    <t>Karimun</t>
  </si>
  <si>
    <t>CID001448</t>
  </si>
  <si>
    <t>PT Karimun Mining</t>
  </si>
  <si>
    <t>CID001471</t>
  </si>
  <si>
    <t>PT Sumber Jaya Indah</t>
  </si>
  <si>
    <t>This smelter is not in conformant smelter list anymore. We are doing corrective actions to eliminate it from our product portfolios,  WE-FAS, WE-ST,WRIS-KSKE,WRIS-RSKS,WRIS-KWKB,WRIS-KWKH,WRIS-PSMB,WRIS-PSMC,WCAP-CSGP,WCAP-CSSA,WCAP-CSST,WCAP-CSRF</t>
  </si>
  <si>
    <t>CID001573</t>
  </si>
  <si>
    <t>Schone Edelmetaal B.V.</t>
  </si>
  <si>
    <t>Amsterdam</t>
  </si>
  <si>
    <t>CID002011</t>
  </si>
  <si>
    <t>Vietnam Youngsun Tungsten Industry Co., Ltd.</t>
  </si>
  <si>
    <t>L1, L3</t>
  </si>
  <si>
    <t>China,Russia,Canada</t>
  </si>
  <si>
    <t>CID002232</t>
  </si>
  <si>
    <t>Zhuzhou Cemented Carbide Group Co., Ltd.</t>
  </si>
  <si>
    <t>Hunan</t>
  </si>
  <si>
    <t>CID002479</t>
  </si>
  <si>
    <t>PT Wahana Perkit Jaya</t>
  </si>
  <si>
    <t>Topang Island</t>
  </si>
  <si>
    <t>Riau Province</t>
  </si>
  <si>
    <t>CID002510</t>
  </si>
  <si>
    <t>Republic Metals Corporation</t>
  </si>
  <si>
    <t>Miami</t>
  </si>
  <si>
    <t>CID002530</t>
  </si>
  <si>
    <t>PT Inti Stania Prima</t>
  </si>
  <si>
    <t>CID002540</t>
  </si>
  <si>
    <t>Plansee SE Liezen</t>
  </si>
  <si>
    <t>Liezen</t>
  </si>
  <si>
    <t>Styria</t>
  </si>
  <si>
    <t>RECYCLED</t>
  </si>
  <si>
    <t>CID002556</t>
  </si>
  <si>
    <t>Plansee SE Reutte</t>
  </si>
  <si>
    <t>Reutte</t>
  </si>
  <si>
    <t>Tyrol</t>
  </si>
  <si>
    <t>CID002592</t>
  </si>
  <si>
    <t>CV Dua Sekawan</t>
  </si>
  <si>
    <t>This smelter is still in conformant smelter list but not included in the CMRT 6.31 template. It is used in Wurth Elektronik's Product Portfolios, WPME-FDSM,WPME-FISM,WPME-FIMM</t>
  </si>
  <si>
    <t>CID002757</t>
  </si>
  <si>
    <t>PT O.M. Indonesia</t>
  </si>
  <si>
    <t>Bekasi</t>
  </si>
  <si>
    <t>West Java</t>
  </si>
  <si>
    <t>CID002829</t>
  </si>
  <si>
    <t>PT Kijang Jaya Mandiri</t>
  </si>
  <si>
    <t>CID002848</t>
  </si>
  <si>
    <t>Gejiu Fengming Metallurgy Chemical Plant</t>
  </si>
  <si>
    <t>Yunnan</t>
  </si>
  <si>
    <t>CID002859</t>
  </si>
  <si>
    <t>Gejiu Jinye Mineral Company</t>
  </si>
  <si>
    <t>CID002870</t>
  </si>
  <si>
    <t>PT Lautan Harmonis Sejahtera</t>
  </si>
  <si>
    <t>Pasir Putih</t>
  </si>
  <si>
    <t>L1</t>
  </si>
  <si>
    <t>This smelter is still in conformant smelter list but not included in the CMRT 6.31 template. It is used in Wurth Elektronik's Product Portfolios, Some transformers.</t>
  </si>
  <si>
    <t>CID003402</t>
  </si>
  <si>
    <t>CP Metals Inc.</t>
  </si>
  <si>
    <t>Warren</t>
  </si>
  <si>
    <t>100%</t>
  </si>
  <si>
    <t>0800706301015000000</t>
  </si>
  <si>
    <t>080100603700003EE00</t>
  </si>
  <si>
    <t>10508311015D2SA00</t>
  </si>
  <si>
    <t>10508511A08D2SA00</t>
  </si>
  <si>
    <t>10508511A15000A00</t>
  </si>
  <si>
    <t>10661-C</t>
  </si>
  <si>
    <t>107620800700003GG00</t>
  </si>
  <si>
    <t>BG20201</t>
  </si>
  <si>
    <t>MAT 51606</t>
  </si>
  <si>
    <t>MAT 51613</t>
  </si>
  <si>
    <t>SET 19874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</si>
</sst>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 numFmtId="177" formatCode="[$-409]d/mmm/yyyy;@"/>
  </numFmts>
  <fonts count="130">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u/>
      <sz val="12"/>
      <color theme="10"/>
      <name val="Calibri"/>
      <family val="2"/>
      <scheme val="minor"/>
    </font>
    <font>
      <sz val="11"/>
      <color rgb="FF9C6500"/>
      <name val="Calibri"/>
      <family val="2"/>
      <scheme val="minor"/>
    </font>
    <font>
      <sz val="10"/>
      <color theme="1"/>
      <name val="ＭＳ Ｐゴシック"/>
      <family val="2"/>
      <charset val="128"/>
    </font>
    <font>
      <sz val="12"/>
      <color theme="1"/>
      <name val="Calibri"/>
      <family val="2"/>
      <scheme val="minor"/>
    </font>
    <font>
      <sz val="11"/>
      <color rgb="FF9C0006"/>
      <name val="ＭＳ Ｐゴシック"/>
      <family val="2"/>
      <charset val="128"/>
    </font>
    <font>
      <u/>
      <sz val="11"/>
      <color theme="10"/>
      <name val="Calibri"/>
      <family val="3"/>
      <charset val="129"/>
      <scheme val="minor"/>
    </font>
    <font>
      <u/>
      <sz val="12"/>
      <color theme="10"/>
      <name val="Calibri"/>
      <family val="3"/>
      <charset val="129"/>
      <scheme val="minor"/>
    </font>
    <font>
      <sz val="11"/>
      <color theme="1"/>
      <name val="Calibri"/>
      <family val="3"/>
      <charset val="129"/>
      <scheme val="minor"/>
    </font>
    <font>
      <sz val="11"/>
      <color theme="1"/>
      <name val="ＭＳ Ｐゴシック"/>
      <family val="2"/>
      <charset val="128"/>
    </font>
    <font>
      <sz val="12"/>
      <color theme="1"/>
      <name val="Calibri"/>
      <family val="3"/>
      <charset val="129"/>
      <scheme val="minor"/>
    </font>
    <font>
      <sz val="11"/>
      <color theme="1"/>
      <name val="Calibri"/>
      <family val="2"/>
      <charset val="128"/>
      <scheme val="minor"/>
    </font>
    <font>
      <sz val="12"/>
      <name val="宋体"/>
      <family val="3"/>
      <charset val="134"/>
    </font>
    <font>
      <u/>
      <sz val="11"/>
      <color rgb="FF0000FF"/>
      <name val="Calibri"/>
      <family val="1"/>
      <charset val="136"/>
      <scheme val="minor"/>
    </font>
  </fonts>
  <fills count="68">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3">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indexed="56"/>
      </left>
      <right style="thick">
        <color indexed="64"/>
      </right>
      <top style="thin">
        <color indexed="56"/>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s>
  <cellStyleXfs count="1025">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8" fillId="26" borderId="0" applyNumberFormat="0" applyBorder="0" applyAlignment="0" applyProtection="0"/>
    <xf numFmtId="0" fontId="59" fillId="26" borderId="0" applyNumberFormat="0" applyBorder="0" applyAlignment="0" applyProtection="0"/>
    <xf numFmtId="0" fontId="60" fillId="27" borderId="1" applyNumberFormat="0" applyAlignment="0" applyProtection="0"/>
    <xf numFmtId="0" fontId="61" fillId="28" borderId="2" applyNumberFormat="0" applyAlignment="0" applyProtection="0"/>
    <xf numFmtId="165" fontId="11" fillId="0" borderId="0" applyFont="0" applyFill="0" applyBorder="0" applyAlignment="0" applyProtection="0"/>
    <xf numFmtId="41" fontId="11" fillId="0" borderId="0" applyFont="0" applyFill="0" applyBorder="0" applyAlignment="0" applyProtection="0"/>
    <xf numFmtId="173"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4" fontId="11" fillId="0" borderId="0" applyFont="0" applyFill="0" applyBorder="0" applyAlignment="0" applyProtection="0"/>
    <xf numFmtId="171" fontId="11" fillId="0" borderId="0" applyFont="0" applyFill="0" applyBorder="0" applyAlignment="0" applyProtection="0"/>
    <xf numFmtId="42" fontId="11" fillId="0" borderId="0" applyFont="0" applyFill="0" applyBorder="0" applyAlignment="0" applyProtection="0"/>
    <xf numFmtId="175"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6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6"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6"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8" fontId="91" fillId="0" borderId="0"/>
    <xf numFmtId="0" fontId="62" fillId="0" borderId="0" applyNumberFormat="0" applyFill="0" applyBorder="0" applyAlignment="0" applyProtection="0"/>
    <xf numFmtId="0" fontId="63" fillId="29"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protection locked="0"/>
    </xf>
    <xf numFmtId="0" fontId="67" fillId="0" borderId="0" applyNumberFormat="0" applyFill="0" applyBorder="0">
      <protection locked="0"/>
    </xf>
    <xf numFmtId="0" fontId="69" fillId="0" borderId="0" applyNumberFormat="0" applyFill="0" applyBorder="0" applyAlignment="0" applyProtection="0"/>
    <xf numFmtId="0" fontId="9" fillId="0" borderId="0" applyNumberFormat="0" applyFill="0" applyBorder="0">
      <protection locked="0"/>
    </xf>
    <xf numFmtId="0" fontId="100" fillId="0" borderId="0" applyNumberFormat="0" applyFill="0" applyBorder="0">
      <protection locked="0"/>
    </xf>
    <xf numFmtId="0" fontId="70" fillId="30" borderId="1" applyNumberFormat="0" applyAlignment="0" applyProtection="0"/>
    <xf numFmtId="0" fontId="71" fillId="0" borderId="6" applyNumberFormat="0" applyFill="0" applyAlignment="0" applyProtection="0"/>
    <xf numFmtId="0" fontId="72" fillId="31" borderId="0" applyNumberFormat="0" applyBorder="0" applyAlignment="0" applyProtection="0"/>
    <xf numFmtId="168" fontId="3" fillId="0" borderId="0"/>
    <xf numFmtId="0" fontId="91" fillId="0" borderId="0"/>
    <xf numFmtId="0" fontId="91" fillId="0" borderId="0"/>
    <xf numFmtId="168"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168" fontId="3" fillId="0" borderId="0"/>
    <xf numFmtId="0" fontId="8" fillId="0" borderId="0"/>
    <xf numFmtId="168" fontId="91" fillId="0" borderId="0"/>
    <xf numFmtId="0" fontId="56" fillId="0" borderId="0"/>
    <xf numFmtId="0" fontId="56" fillId="0" borderId="0"/>
    <xf numFmtId="168" fontId="8" fillId="0" borderId="0"/>
    <xf numFmtId="0" fontId="56" fillId="0" borderId="0"/>
    <xf numFmtId="0" fontId="8" fillId="0" borderId="0"/>
    <xf numFmtId="0" fontId="56" fillId="0" borderId="0"/>
    <xf numFmtId="0" fontId="73" fillId="0" borderId="0">
      <alignment vertical="center"/>
    </xf>
    <xf numFmtId="168" fontId="3" fillId="0" borderId="0"/>
    <xf numFmtId="0" fontId="74" fillId="0" borderId="0"/>
    <xf numFmtId="0" fontId="56" fillId="0" borderId="0"/>
    <xf numFmtId="0" fontId="91" fillId="0" borderId="0"/>
    <xf numFmtId="0" fontId="74" fillId="0" borderId="0"/>
    <xf numFmtId="0" fontId="56" fillId="0" borderId="0"/>
    <xf numFmtId="0" fontId="56" fillId="0" borderId="0"/>
    <xf numFmtId="0" fontId="56" fillId="0" borderId="0"/>
    <xf numFmtId="0" fontId="56" fillId="0" borderId="0"/>
    <xf numFmtId="0" fontId="56" fillId="0" borderId="0"/>
    <xf numFmtId="0" fontId="91" fillId="0" borderId="0"/>
    <xf numFmtId="0" fontId="56" fillId="0" borderId="0"/>
    <xf numFmtId="0" fontId="91"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4" fillId="0" borderId="0"/>
    <xf numFmtId="0" fontId="74"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6" fillId="0" borderId="0"/>
    <xf numFmtId="0" fontId="56" fillId="0" borderId="0"/>
    <xf numFmtId="168" fontId="3" fillId="0" borderId="0"/>
    <xf numFmtId="168" fontId="3" fillId="0" borderId="0"/>
    <xf numFmtId="0" fontId="75" fillId="0" borderId="0"/>
    <xf numFmtId="0" fontId="91" fillId="0" borderId="0"/>
    <xf numFmtId="0" fontId="11" fillId="0" borderId="0"/>
    <xf numFmtId="0" fontId="56" fillId="32" borderId="7" applyNumberFormat="0" applyFont="0" applyAlignment="0" applyProtection="0"/>
    <xf numFmtId="0" fontId="76" fillId="27" borderId="8" applyNumberFormat="0" applyAlignment="0" applyProtection="0"/>
    <xf numFmtId="9" fontId="11" fillId="0" borderId="0" applyFont="0" applyFill="0" applyBorder="0" applyAlignment="0" applyProtection="0"/>
    <xf numFmtId="0" fontId="9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168" fontId="11" fillId="0" borderId="0"/>
    <xf numFmtId="0" fontId="91" fillId="0" borderId="0"/>
    <xf numFmtId="0" fontId="91" fillId="0" borderId="0"/>
    <xf numFmtId="0" fontId="91" fillId="0" borderId="0"/>
    <xf numFmtId="168" fontId="91" fillId="0" borderId="0"/>
    <xf numFmtId="0" fontId="2" fillId="0" borderId="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8"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15" fillId="47" borderId="0" applyNumberFormat="0" applyBorder="0" applyAlignment="0" applyProtection="0"/>
    <xf numFmtId="0" fontId="115" fillId="51" borderId="0" applyNumberFormat="0" applyBorder="0" applyAlignment="0" applyProtection="0"/>
    <xf numFmtId="0" fontId="115" fillId="55" borderId="0" applyNumberFormat="0" applyBorder="0" applyAlignment="0" applyProtection="0"/>
    <xf numFmtId="0" fontId="115" fillId="59" borderId="0" applyNumberFormat="0" applyBorder="0" applyAlignment="0" applyProtection="0"/>
    <xf numFmtId="0" fontId="115" fillId="63" borderId="0" applyNumberFormat="0" applyBorder="0" applyAlignment="0" applyProtection="0"/>
    <xf numFmtId="0" fontId="115" fillId="67" borderId="0" applyNumberFormat="0" applyBorder="0" applyAlignment="0" applyProtection="0"/>
    <xf numFmtId="0" fontId="115" fillId="44" borderId="0" applyNumberFormat="0" applyBorder="0" applyAlignment="0" applyProtection="0"/>
    <xf numFmtId="0" fontId="115" fillId="48" borderId="0" applyNumberFormat="0" applyBorder="0" applyAlignment="0" applyProtection="0"/>
    <xf numFmtId="0" fontId="115" fillId="52" borderId="0" applyNumberFormat="0" applyBorder="0" applyAlignment="0" applyProtection="0"/>
    <xf numFmtId="0" fontId="115" fillId="56" borderId="0" applyNumberFormat="0" applyBorder="0" applyAlignment="0" applyProtection="0"/>
    <xf numFmtId="0" fontId="115" fillId="60" borderId="0" applyNumberFormat="0" applyBorder="0" applyAlignment="0" applyProtection="0"/>
    <xf numFmtId="0" fontId="115" fillId="64" borderId="0" applyNumberFormat="0" applyBorder="0" applyAlignment="0" applyProtection="0"/>
    <xf numFmtId="0" fontId="58" fillId="38" borderId="0" applyNumberFormat="0" applyBorder="0" applyAlignment="0" applyProtection="0"/>
    <xf numFmtId="0" fontId="121" fillId="38" borderId="0" applyNumberFormat="0" applyBorder="0" applyAlignment="0" applyProtection="0"/>
    <xf numFmtId="0" fontId="106" fillId="38" borderId="0" applyNumberFormat="0" applyBorder="0" applyAlignment="0" applyProtection="0"/>
    <xf numFmtId="0" fontId="109" fillId="41" borderId="1" applyNumberFormat="0" applyAlignment="0" applyProtection="0"/>
    <xf numFmtId="0" fontId="111" fillId="42" borderId="2" applyNumberFormat="0" applyAlignment="0" applyProtection="0"/>
    <xf numFmtId="0" fontId="113" fillId="0" borderId="0" applyNumberFormat="0" applyFill="0" applyBorder="0" applyAlignment="0" applyProtection="0"/>
    <xf numFmtId="0" fontId="105" fillId="37" borderId="0" applyNumberFormat="0" applyBorder="0" applyAlignment="0" applyProtection="0"/>
    <xf numFmtId="0" fontId="102" fillId="0" borderId="3" applyNumberFormat="0" applyFill="0" applyAlignment="0" applyProtection="0"/>
    <xf numFmtId="0" fontId="103" fillId="0" borderId="68" applyNumberFormat="0" applyFill="0" applyAlignment="0" applyProtection="0"/>
    <xf numFmtId="0" fontId="104" fillId="0" borderId="5" applyNumberFormat="0" applyFill="0" applyAlignment="0" applyProtection="0"/>
    <xf numFmtId="0" fontId="104" fillId="0" borderId="0" applyNumberFormat="0" applyFill="0" applyBorder="0" applyAlignment="0" applyProtection="0"/>
    <xf numFmtId="0" fontId="9" fillId="0" borderId="0" applyNumberFormat="0" applyFill="0" applyBorder="0" applyAlignment="0" applyProtection="0">
      <alignment vertical="top"/>
      <protection locked="0"/>
    </xf>
    <xf numFmtId="168" fontId="67" fillId="0" borderId="0" applyNumberFormat="0" applyFill="0" applyBorder="0" applyAlignment="0" applyProtection="0"/>
    <xf numFmtId="0" fontId="116" fillId="0" borderId="0" applyNumberFormat="0" applyFill="0" applyBorder="0" applyAlignment="0" applyProtection="0"/>
    <xf numFmtId="0" fontId="122" fillId="0" borderId="0" applyNumberFormat="0" applyFill="0" applyBorder="0" applyAlignment="0" applyProtection="0"/>
    <xf numFmtId="168" fontId="67" fillId="0" borderId="0" applyNumberFormat="0" applyFill="0" applyBorder="0" applyAlignment="0" applyProtection="0">
      <alignment vertical="top"/>
      <protection locked="0"/>
    </xf>
    <xf numFmtId="168" fontId="67" fillId="0" borderId="0" applyNumberFormat="0" applyFill="0" applyBorder="0" applyAlignment="0" applyProtection="0">
      <alignment vertical="top"/>
      <protection locked="0"/>
    </xf>
    <xf numFmtId="0" fontId="117" fillId="0" borderId="0" applyNumberFormat="0" applyFill="0" applyBorder="0" applyAlignment="0" applyProtection="0"/>
    <xf numFmtId="0" fontId="123" fillId="0" borderId="0" applyNumberFormat="0" applyFill="0" applyBorder="0" applyAlignment="0" applyProtection="0"/>
    <xf numFmtId="0" fontId="9" fillId="0" borderId="0" applyNumberFormat="0" applyFill="0" applyBorder="0" applyAlignment="0" applyProtection="0">
      <alignment vertical="top"/>
      <protection locked="0"/>
    </xf>
    <xf numFmtId="168" fontId="67" fillId="0" borderId="0" applyNumberFormat="0" applyFill="0" applyBorder="0" applyAlignment="0" applyProtection="0">
      <alignment vertical="top"/>
      <protection locked="0"/>
    </xf>
    <xf numFmtId="0" fontId="107" fillId="40" borderId="1" applyNumberFormat="0" applyAlignment="0" applyProtection="0"/>
    <xf numFmtId="0" fontId="110" fillId="0" borderId="6" applyNumberFormat="0" applyFill="0" applyAlignment="0" applyProtection="0"/>
    <xf numFmtId="0" fontId="118" fillId="39" borderId="0" applyNumberFormat="0" applyBorder="0" applyAlignment="0" applyProtection="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24" fillId="0" borderId="0"/>
    <xf numFmtId="0" fontId="124" fillId="0" borderId="0"/>
    <xf numFmtId="0" fontId="1" fillId="0" borderId="0"/>
    <xf numFmtId="0" fontId="124" fillId="0" borderId="0"/>
    <xf numFmtId="0" fontId="124" fillId="0" borderId="0"/>
    <xf numFmtId="0" fontId="1" fillId="0" borderId="0"/>
    <xf numFmtId="0" fontId="1" fillId="0" borderId="0"/>
    <xf numFmtId="0" fontId="124" fillId="0" borderId="0"/>
    <xf numFmtId="0" fontId="124" fillId="0" borderId="0"/>
    <xf numFmtId="0" fontId="1" fillId="0" borderId="0"/>
    <xf numFmtId="0" fontId="124" fillId="0" borderId="0"/>
    <xf numFmtId="0" fontId="124" fillId="0" borderId="0"/>
    <xf numFmtId="0" fontId="1" fillId="0" borderId="0"/>
    <xf numFmtId="0" fontId="124" fillId="0" borderId="0"/>
    <xf numFmtId="0" fontId="1" fillId="0" borderId="0"/>
    <xf numFmtId="0" fontId="124" fillId="0" borderId="0"/>
    <xf numFmtId="0" fontId="1" fillId="0" borderId="0"/>
    <xf numFmtId="0" fontId="124" fillId="0" borderId="0"/>
    <xf numFmtId="0" fontId="1" fillId="0" borderId="0"/>
    <xf numFmtId="0" fontId="124" fillId="0" borderId="0"/>
    <xf numFmtId="0" fontId="119" fillId="0" borderId="0">
      <alignment vertical="center"/>
    </xf>
    <xf numFmtId="0" fontId="1" fillId="0" borderId="0"/>
    <xf numFmtId="43" fontId="11" fillId="0" borderId="0" applyFont="0" applyFill="0" applyBorder="0" applyAlignment="0" applyProtection="0"/>
    <xf numFmtId="0" fontId="124" fillId="0" borderId="0"/>
    <xf numFmtId="0" fontId="125" fillId="0" borderId="0"/>
    <xf numFmtId="0" fontId="1" fillId="0" borderId="0"/>
    <xf numFmtId="0" fontId="124" fillId="0" borderId="0"/>
    <xf numFmtId="0" fontId="125" fillId="0" borderId="0"/>
    <xf numFmtId="0" fontId="1" fillId="0" borderId="0"/>
    <xf numFmtId="0" fontId="1" fillId="0" borderId="0"/>
    <xf numFmtId="0" fontId="1" fillId="0" borderId="0"/>
    <xf numFmtId="0" fontId="124" fillId="0" borderId="0"/>
    <xf numFmtId="0" fontId="124" fillId="0" borderId="0"/>
    <xf numFmtId="0" fontId="1" fillId="0" borderId="0"/>
    <xf numFmtId="0" fontId="124" fillId="0" borderId="0"/>
    <xf numFmtId="0" fontId="124" fillId="0" borderId="0"/>
    <xf numFmtId="41" fontId="11" fillId="0" borderId="0" applyFont="0" applyFill="0" applyBorder="0" applyAlignment="0" applyProtection="0"/>
    <xf numFmtId="0" fontId="1" fillId="0" borderId="0"/>
    <xf numFmtId="0" fontId="124" fillId="0" borderId="0"/>
    <xf numFmtId="41" fontId="11" fillId="0" borderId="0" applyFont="0" applyFill="0" applyBorder="0" applyAlignment="0" applyProtection="0"/>
    <xf numFmtId="0" fontId="1" fillId="0" borderId="0"/>
    <xf numFmtId="0" fontId="124" fillId="0" borderId="0"/>
    <xf numFmtId="0" fontId="125" fillId="0" borderId="0"/>
    <xf numFmtId="0" fontId="1" fillId="0" borderId="0"/>
    <xf numFmtId="0" fontId="124" fillId="0" borderId="0"/>
    <xf numFmtId="0" fontId="125" fillId="0" borderId="0"/>
    <xf numFmtId="0" fontId="1" fillId="0" borderId="0"/>
    <xf numFmtId="0" fontId="1" fillId="0" borderId="0"/>
    <xf numFmtId="0" fontId="124" fillId="0" borderId="0"/>
    <xf numFmtId="0" fontId="124" fillId="0" borderId="0"/>
    <xf numFmtId="0" fontId="120" fillId="0" borderId="0"/>
    <xf numFmtId="0" fontId="126" fillId="0" borderId="0"/>
    <xf numFmtId="0" fontId="1" fillId="43" borderId="7" applyNumberFormat="0" applyFont="0" applyAlignment="0" applyProtection="0"/>
    <xf numFmtId="0" fontId="108" fillId="41" borderId="8" applyNumberFormat="0" applyAlignment="0" applyProtection="0"/>
    <xf numFmtId="0" fontId="1" fillId="0" borderId="0"/>
    <xf numFmtId="0" fontId="1" fillId="0" borderId="0"/>
    <xf numFmtId="0" fontId="1" fillId="0" borderId="0"/>
    <xf numFmtId="0" fontId="1" fillId="0" borderId="0"/>
    <xf numFmtId="0" fontId="124" fillId="0" borderId="0"/>
    <xf numFmtId="0" fontId="124" fillId="0" borderId="0"/>
    <xf numFmtId="0" fontId="1" fillId="0" borderId="0"/>
    <xf numFmtId="0" fontId="124" fillId="0" borderId="0"/>
    <xf numFmtId="0" fontId="124" fillId="0" borderId="0"/>
    <xf numFmtId="0" fontId="1" fillId="0" borderId="0"/>
    <xf numFmtId="0" fontId="1" fillId="0" borderId="0"/>
    <xf numFmtId="0" fontId="124" fillId="0" borderId="0"/>
    <xf numFmtId="0" fontId="124" fillId="0" borderId="0"/>
    <xf numFmtId="0" fontId="1" fillId="0" borderId="0"/>
    <xf numFmtId="0" fontId="124" fillId="0" borderId="0"/>
    <xf numFmtId="0" fontId="124" fillId="0" borderId="0"/>
    <xf numFmtId="0" fontId="101" fillId="0" borderId="0" applyNumberFormat="0" applyFill="0" applyBorder="0" applyAlignment="0" applyProtection="0"/>
    <xf numFmtId="0" fontId="114" fillId="0" borderId="9" applyNumberFormat="0" applyFill="0" applyAlignment="0" applyProtection="0"/>
    <xf numFmtId="0" fontId="112" fillId="0" borderId="0" applyNumberFormat="0" applyFill="0" applyBorder="0" applyAlignment="0" applyProtection="0"/>
    <xf numFmtId="0" fontId="91" fillId="0" borderId="0"/>
    <xf numFmtId="0" fontId="91" fillId="0" borderId="0"/>
    <xf numFmtId="0" fontId="91" fillId="0" borderId="0"/>
    <xf numFmtId="0" fontId="91" fillId="0" borderId="0"/>
    <xf numFmtId="0" fontId="91" fillId="0" borderId="0"/>
    <xf numFmtId="0" fontId="124" fillId="0" borderId="0">
      <alignment vertical="center"/>
    </xf>
    <xf numFmtId="0" fontId="124" fillId="0" borderId="0">
      <alignment vertical="center"/>
    </xf>
    <xf numFmtId="0" fontId="124" fillId="0" borderId="0">
      <alignment vertical="center"/>
    </xf>
    <xf numFmtId="0" fontId="124" fillId="0" borderId="0">
      <alignment vertical="center"/>
    </xf>
    <xf numFmtId="0" fontId="124" fillId="0" borderId="0">
      <alignment vertical="center"/>
    </xf>
    <xf numFmtId="0" fontId="9" fillId="0" borderId="0" applyNumberFormat="0" applyFill="0" applyBorder="0" applyAlignment="0" applyProtection="0">
      <alignment vertical="top"/>
      <protection locked="0"/>
    </xf>
    <xf numFmtId="0" fontId="9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2"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9" fillId="0" borderId="0" applyNumberFormat="0" applyFill="0" applyBorder="0">
      <protection locked="0"/>
    </xf>
    <xf numFmtId="0" fontId="67" fillId="0" borderId="0" applyNumberFormat="0" applyFill="0" applyBorder="0" applyAlignment="0" applyProtection="0"/>
    <xf numFmtId="0" fontId="67" fillId="0" borderId="0" applyNumberFormat="0" applyFill="0" applyBorder="0">
      <protection locked="0"/>
    </xf>
    <xf numFmtId="0" fontId="8" fillId="0" borderId="0"/>
    <xf numFmtId="0" fontId="1" fillId="0" borderId="0"/>
    <xf numFmtId="0" fontId="56" fillId="45" borderId="0" applyNumberFormat="0" applyBorder="0" applyAlignment="0" applyProtection="0"/>
    <xf numFmtId="0" fontId="56" fillId="49" borderId="0" applyNumberFormat="0" applyBorder="0" applyAlignment="0" applyProtection="0"/>
    <xf numFmtId="0" fontId="56" fillId="53" borderId="0" applyNumberFormat="0" applyBorder="0" applyAlignment="0" applyProtection="0"/>
    <xf numFmtId="0" fontId="56" fillId="57" borderId="0" applyNumberFormat="0" applyBorder="0" applyAlignment="0" applyProtection="0"/>
    <xf numFmtId="0" fontId="56" fillId="61" borderId="0" applyNumberFormat="0" applyBorder="0" applyAlignment="0" applyProtection="0"/>
    <xf numFmtId="0" fontId="56" fillId="65"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4" borderId="0" applyNumberFormat="0" applyBorder="0" applyAlignment="0" applyProtection="0"/>
    <xf numFmtId="0" fontId="56" fillId="58" borderId="0" applyNumberFormat="0" applyBorder="0" applyAlignment="0" applyProtection="0"/>
    <xf numFmtId="0" fontId="56" fillId="62" borderId="0" applyNumberFormat="0" applyBorder="0" applyAlignment="0" applyProtection="0"/>
    <xf numFmtId="0" fontId="56" fillId="66" borderId="0" applyNumberFormat="0" applyBorder="0" applyAlignment="0" applyProtection="0"/>
    <xf numFmtId="0" fontId="57" fillId="47" borderId="0" applyNumberFormat="0" applyBorder="0" applyAlignment="0" applyProtection="0"/>
    <xf numFmtId="0" fontId="57" fillId="51" borderId="0" applyNumberFormat="0" applyBorder="0" applyAlignment="0" applyProtection="0"/>
    <xf numFmtId="0" fontId="57" fillId="55" borderId="0" applyNumberFormat="0" applyBorder="0" applyAlignment="0" applyProtection="0"/>
    <xf numFmtId="0" fontId="57" fillId="59" borderId="0" applyNumberFormat="0" applyBorder="0" applyAlignment="0" applyProtection="0"/>
    <xf numFmtId="0" fontId="57" fillId="63" borderId="0" applyNumberFormat="0" applyBorder="0" applyAlignment="0" applyProtection="0"/>
    <xf numFmtId="0" fontId="57" fillId="67"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52" borderId="0" applyNumberFormat="0" applyBorder="0" applyAlignment="0" applyProtection="0"/>
    <xf numFmtId="0" fontId="57" fillId="56" borderId="0" applyNumberFormat="0" applyBorder="0" applyAlignment="0" applyProtection="0"/>
    <xf numFmtId="0" fontId="57" fillId="60" borderId="0" applyNumberFormat="0" applyBorder="0" applyAlignment="0" applyProtection="0"/>
    <xf numFmtId="0" fontId="57" fillId="64" borderId="0" applyNumberFormat="0" applyBorder="0" applyAlignment="0" applyProtection="0"/>
    <xf numFmtId="0" fontId="58" fillId="38" borderId="0" applyNumberFormat="0" applyBorder="0" applyAlignment="0" applyProtection="0"/>
    <xf numFmtId="0" fontId="59" fillId="38" borderId="0" applyNumberFormat="0" applyBorder="0" applyAlignment="0" applyProtection="0"/>
    <xf numFmtId="0" fontId="60" fillId="41" borderId="1" applyNumberFormat="0" applyAlignment="0" applyProtection="0"/>
    <xf numFmtId="0" fontId="61" fillId="42" borderId="2" applyNumberFormat="0" applyAlignment="0" applyProtection="0"/>
    <xf numFmtId="0" fontId="63" fillId="37" borderId="0" applyNumberFormat="0" applyBorder="0" applyAlignment="0" applyProtection="0"/>
    <xf numFmtId="0" fontId="65" fillId="0" borderId="68" applyNumberFormat="0" applyFill="0" applyAlignment="0" applyProtection="0"/>
    <xf numFmtId="0" fontId="9" fillId="0" borderId="0" applyNumberFormat="0" applyFill="0" applyBorder="0" applyAlignment="0" applyProtection="0">
      <alignment vertical="top"/>
      <protection locked="0"/>
    </xf>
    <xf numFmtId="0" fontId="70" fillId="40" borderId="1" applyNumberFormat="0" applyAlignment="0" applyProtection="0"/>
    <xf numFmtId="0" fontId="72" fillId="39" borderId="0" applyNumberFormat="0" applyBorder="0" applyAlignment="0" applyProtection="0"/>
    <xf numFmtId="0" fontId="56" fillId="43" borderId="7" applyNumberFormat="0" applyFont="0" applyAlignment="0" applyProtection="0"/>
    <xf numFmtId="0" fontId="76" fillId="41" borderId="8" applyNumberFormat="0" applyAlignment="0" applyProtection="0"/>
    <xf numFmtId="0" fontId="91" fillId="0" borderId="0"/>
    <xf numFmtId="0" fontId="127" fillId="0" borderId="0">
      <alignment vertical="center"/>
    </xf>
    <xf numFmtId="0" fontId="91" fillId="0" borderId="0"/>
    <xf numFmtId="0" fontId="91" fillId="0" borderId="0"/>
    <xf numFmtId="0" fontId="91" fillId="0" borderId="0"/>
    <xf numFmtId="0" fontId="91" fillId="0" borderId="0"/>
    <xf numFmtId="0" fontId="91" fillId="0" borderId="0"/>
    <xf numFmtId="0" fontId="1" fillId="0" borderId="0"/>
    <xf numFmtId="0" fontId="1" fillId="0" borderId="0"/>
    <xf numFmtId="0" fontId="91" fillId="0" borderId="0"/>
    <xf numFmtId="0" fontId="91" fillId="0" borderId="0"/>
    <xf numFmtId="0" fontId="91" fillId="0" borderId="0"/>
    <xf numFmtId="0" fontId="1" fillId="0" borderId="0"/>
    <xf numFmtId="0" fontId="91" fillId="0" borderId="0"/>
    <xf numFmtId="0" fontId="91" fillId="0" borderId="0"/>
    <xf numFmtId="0" fontId="91" fillId="0" borderId="0"/>
    <xf numFmtId="0" fontId="91" fillId="0" borderId="0"/>
    <xf numFmtId="177" fontId="91" fillId="0" borderId="0"/>
    <xf numFmtId="177" fontId="91" fillId="0" borderId="0"/>
    <xf numFmtId="168" fontId="128" fillId="0" borderId="0"/>
    <xf numFmtId="0" fontId="1" fillId="0" borderId="0"/>
    <xf numFmtId="0" fontId="91" fillId="0" borderId="0"/>
    <xf numFmtId="0" fontId="91" fillId="0" borderId="0"/>
    <xf numFmtId="0" fontId="9" fillId="0" borderId="0" applyNumberFormat="0" applyFill="0" applyBorder="0" applyAlignment="0" applyProtection="0">
      <alignment vertical="top"/>
      <protection locked="0"/>
    </xf>
    <xf numFmtId="0" fontId="129" fillId="0" borderId="0" applyNumberFormat="0" applyFill="0" applyBorder="0" applyAlignment="0" applyProtection="0">
      <alignment vertical="center"/>
    </xf>
    <xf numFmtId="0" fontId="91" fillId="0" borderId="0"/>
    <xf numFmtId="0" fontId="91" fillId="0" borderId="0"/>
    <xf numFmtId="0" fontId="91" fillId="0" borderId="0"/>
    <xf numFmtId="0" fontId="91" fillId="0" borderId="0"/>
    <xf numFmtId="0" fontId="100" fillId="0" borderId="0" applyNumberFormat="0" applyFill="0" applyBorder="0">
      <protection locked="0"/>
    </xf>
    <xf numFmtId="0" fontId="91" fillId="0" borderId="0"/>
    <xf numFmtId="0" fontId="91" fillId="0" borderId="0"/>
  </cellStyleXfs>
  <cellXfs count="428">
    <xf numFmtId="0" fontId="0" fillId="0" borderId="0" xfId="0"/>
    <xf numFmtId="0" fontId="16" fillId="33" borderId="10" xfId="0" applyFont="1" applyFill="1" applyBorder="1" applyAlignment="1">
      <alignment horizontal="center" vertical="center"/>
    </xf>
    <xf numFmtId="0" fontId="26" fillId="33" borderId="11" xfId="570" applyFont="1" applyFill="1" applyBorder="1" applyAlignment="1">
      <alignment horizontal="center" vertical="top" wrapText="1"/>
    </xf>
    <xf numFmtId="0" fontId="0" fillId="33" borderId="0" xfId="0" applyFill="1"/>
    <xf numFmtId="0" fontId="12" fillId="33" borderId="0" xfId="0" applyFont="1" applyFill="1" applyAlignment="1">
      <alignment horizontal="center" vertical="center"/>
    </xf>
    <xf numFmtId="0" fontId="10" fillId="33" borderId="0" xfId="0" applyFont="1" applyFill="1"/>
    <xf numFmtId="0" fontId="15"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2" fillId="33" borderId="0" xfId="0" applyFont="1" applyFill="1" applyAlignment="1">
      <alignment vertical="center"/>
    </xf>
    <xf numFmtId="0" fontId="18" fillId="33" borderId="0" xfId="0" applyFont="1" applyFill="1" applyAlignment="1">
      <alignment horizontal="left" wrapText="1"/>
    </xf>
    <xf numFmtId="0" fontId="16" fillId="33" borderId="0" xfId="0" applyFont="1" applyFill="1" applyAlignment="1">
      <alignment vertical="center"/>
    </xf>
    <xf numFmtId="0" fontId="16" fillId="33" borderId="0" xfId="0" applyFont="1" applyFill="1" applyAlignment="1">
      <alignment horizontal="center" vertical="center"/>
    </xf>
    <xf numFmtId="0" fontId="0" fillId="33" borderId="0" xfId="0" applyFill="1" applyAlignment="1">
      <alignment vertical="top"/>
    </xf>
    <xf numFmtId="0" fontId="10" fillId="33" borderId="0" xfId="0" applyFont="1" applyFill="1" applyProtection="1">
      <protection hidden="1"/>
    </xf>
    <xf numFmtId="0" fontId="12" fillId="33" borderId="0" xfId="0" applyFont="1" applyFill="1" applyAlignment="1" applyProtection="1">
      <alignment horizontal="center" vertical="top"/>
      <protection hidden="1"/>
    </xf>
    <xf numFmtId="0" fontId="12" fillId="33" borderId="0" xfId="0" applyFont="1" applyFill="1" applyAlignment="1" applyProtection="1">
      <alignment vertical="center"/>
      <protection hidden="1"/>
    </xf>
    <xf numFmtId="0" fontId="16"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Alignment="1" applyProtection="1">
      <alignment horizontal="right" vertical="center"/>
      <protection hidden="1"/>
    </xf>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6" fillId="33" borderId="18" xfId="570" applyFont="1" applyFill="1" applyBorder="1" applyAlignment="1">
      <alignment vertical="top" wrapText="1"/>
    </xf>
    <xf numFmtId="168" fontId="26" fillId="33" borderId="18" xfId="570" applyNumberFormat="1" applyFont="1" applyFill="1" applyBorder="1" applyAlignment="1">
      <alignment horizontal="center" vertical="top" wrapText="1"/>
    </xf>
    <xf numFmtId="0" fontId="12" fillId="33" borderId="0" xfId="0" applyFont="1" applyFill="1" applyAlignment="1">
      <alignment horizontal="left"/>
    </xf>
    <xf numFmtId="0" fontId="15" fillId="33" borderId="0" xfId="0" applyFont="1" applyFill="1" applyAlignment="1">
      <alignment horizontal="left"/>
    </xf>
    <xf numFmtId="0" fontId="38" fillId="33" borderId="19" xfId="570" applyFont="1" applyFill="1" applyBorder="1" applyAlignment="1">
      <alignment horizontal="center" vertical="center" wrapText="1"/>
    </xf>
    <xf numFmtId="0" fontId="38"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2" fillId="33" borderId="21" xfId="0" applyFont="1" applyFill="1" applyBorder="1" applyAlignment="1">
      <alignment vertical="center"/>
    </xf>
    <xf numFmtId="0" fontId="4" fillId="33" borderId="16" xfId="0" applyFont="1" applyFill="1" applyBorder="1" applyAlignment="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lignment vertical="center"/>
    </xf>
    <xf numFmtId="0" fontId="4" fillId="33" borderId="24" xfId="0" applyFont="1" applyFill="1" applyBorder="1" applyAlignment="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lignment vertical="center"/>
    </xf>
    <xf numFmtId="0" fontId="12" fillId="33" borderId="25" xfId="0" applyFont="1" applyFill="1" applyBorder="1" applyAlignment="1">
      <alignment vertical="center"/>
    </xf>
    <xf numFmtId="0" fontId="4" fillId="33" borderId="26" xfId="0" applyFont="1" applyFill="1" applyBorder="1" applyAlignment="1">
      <alignment vertical="center"/>
    </xf>
    <xf numFmtId="0" fontId="15" fillId="33" borderId="27" xfId="0" applyFont="1" applyFill="1" applyBorder="1" applyAlignment="1" applyProtection="1">
      <alignment wrapText="1"/>
      <protection hidden="1"/>
    </xf>
    <xf numFmtId="0" fontId="0" fillId="34" borderId="19" xfId="0" applyFill="1" applyBorder="1"/>
    <xf numFmtId="0" fontId="15" fillId="33" borderId="28" xfId="0" applyFont="1" applyFill="1" applyBorder="1" applyAlignment="1" applyProtection="1">
      <alignment horizontal="right" vertical="center"/>
      <protection hidden="1"/>
    </xf>
    <xf numFmtId="0" fontId="31" fillId="33" borderId="0" xfId="0" applyFont="1" applyFill="1" applyAlignment="1">
      <alignment horizontal="right" vertical="center"/>
    </xf>
    <xf numFmtId="0" fontId="32" fillId="33" borderId="0" xfId="0" applyFont="1" applyFill="1" applyAlignment="1">
      <alignment vertical="center"/>
    </xf>
    <xf numFmtId="0" fontId="12" fillId="33" borderId="29" xfId="0" applyFont="1" applyFill="1" applyBorder="1" applyAlignment="1">
      <alignment vertical="center"/>
    </xf>
    <xf numFmtId="0" fontId="32" fillId="33" borderId="27" xfId="0" applyFont="1" applyFill="1" applyBorder="1" applyAlignment="1">
      <alignment vertical="center"/>
    </xf>
    <xf numFmtId="0" fontId="12" fillId="33" borderId="30" xfId="0" applyFont="1" applyFill="1" applyBorder="1" applyAlignment="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lignment horizontal="left" vertical="center"/>
    </xf>
    <xf numFmtId="0" fontId="4" fillId="33" borderId="31" xfId="0" applyFont="1" applyFill="1" applyBorder="1" applyAlignment="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lignment vertical="center"/>
    </xf>
    <xf numFmtId="0" fontId="5" fillId="33" borderId="22" xfId="0" applyFont="1" applyFill="1" applyBorder="1" applyAlignment="1" applyProtection="1">
      <alignment horizontal="left" vertical="top" wrapText="1"/>
      <protection hidden="1"/>
    </xf>
    <xf numFmtId="0" fontId="10" fillId="0" borderId="0" xfId="589" applyFont="1"/>
    <xf numFmtId="0" fontId="91"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7"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Alignment="1" applyProtection="1">
      <alignment wrapText="1"/>
      <protection hidden="1"/>
    </xf>
    <xf numFmtId="0" fontId="12" fillId="33" borderId="0" xfId="0" applyFont="1" applyFill="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31" fillId="33" borderId="0" xfId="0" applyFont="1" applyFill="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Alignment="1" applyProtection="1">
      <alignment horizontal="center" vertical="center"/>
      <protection hidden="1"/>
    </xf>
    <xf numFmtId="0" fontId="16"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6" fillId="0" borderId="0" xfId="0" applyFont="1" applyAlignment="1" applyProtection="1">
      <alignment vertical="center" wrapText="1"/>
      <protection hidden="1"/>
    </xf>
    <xf numFmtId="0" fontId="6" fillId="0" borderId="0" xfId="0" applyFont="1" applyAlignment="1">
      <alignment wrapText="1"/>
    </xf>
    <xf numFmtId="0" fontId="6" fillId="0" borderId="0" xfId="0" applyFont="1"/>
    <xf numFmtId="0" fontId="5" fillId="0" borderId="35" xfId="0" applyFont="1" applyBorder="1" applyAlignment="1" applyProtection="1">
      <alignment vertical="center" wrapText="1"/>
      <protection hidden="1"/>
    </xf>
    <xf numFmtId="0" fontId="23" fillId="0" borderId="35" xfId="487" applyFont="1" applyBorder="1" applyAlignment="1" applyProtection="1">
      <alignment horizontal="center"/>
      <protection hidden="1"/>
    </xf>
    <xf numFmtId="0" fontId="5" fillId="0" borderId="36" xfId="0" applyFont="1" applyBorder="1" applyAlignment="1" applyProtection="1">
      <alignment vertical="center" wrapText="1"/>
      <protection hidden="1"/>
    </xf>
    <xf numFmtId="0" fontId="34" fillId="0" borderId="35" xfId="0" applyFont="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30" fillId="0" borderId="0" xfId="0" applyFont="1" applyAlignment="1">
      <alignment horizontal="center" wrapText="1"/>
    </xf>
    <xf numFmtId="0" fontId="6" fillId="0" borderId="15" xfId="0" applyFont="1" applyBorder="1" applyAlignment="1">
      <alignment wrapText="1"/>
    </xf>
    <xf numFmtId="0" fontId="0" fillId="0" borderId="0" xfId="0" applyAlignment="1">
      <alignment vertical="top" wrapText="1"/>
    </xf>
    <xf numFmtId="0" fontId="6" fillId="0" borderId="15" xfId="0" applyFont="1" applyBorder="1" applyAlignment="1">
      <alignment vertical="top" wrapText="1"/>
    </xf>
    <xf numFmtId="0" fontId="5" fillId="0" borderId="0" xfId="0" applyFont="1" applyAlignment="1">
      <alignment wrapText="1"/>
    </xf>
    <xf numFmtId="0" fontId="6" fillId="0" borderId="0" xfId="0" applyFont="1" applyAlignment="1">
      <alignment horizontal="center" wrapText="1"/>
    </xf>
    <xf numFmtId="0" fontId="30" fillId="0" borderId="15" xfId="0" applyFont="1" applyBorder="1" applyAlignment="1">
      <alignment wrapText="1"/>
    </xf>
    <xf numFmtId="0" fontId="33" fillId="0" borderId="0" xfId="0" applyFont="1" applyAlignment="1">
      <alignment horizontal="right" wrapText="1"/>
    </xf>
    <xf numFmtId="0" fontId="35" fillId="33"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2" fillId="33" borderId="0" xfId="0" applyFont="1" applyFill="1" applyAlignment="1" applyProtection="1">
      <alignment horizontal="center" vertical="center" wrapText="1"/>
      <protection hidden="1"/>
    </xf>
    <xf numFmtId="0" fontId="9" fillId="0" borderId="0" xfId="487" applyFill="1" applyAlignment="1" applyProtection="1">
      <alignment horizontal="center"/>
      <protection hidden="1"/>
    </xf>
    <xf numFmtId="0" fontId="42" fillId="33" borderId="33" xfId="487" applyFont="1" applyFill="1" applyBorder="1" applyAlignment="1" applyProtection="1">
      <alignment horizontal="left" vertical="center"/>
      <protection hidden="1"/>
    </xf>
    <xf numFmtId="0" fontId="43" fillId="33" borderId="0" xfId="487" applyFont="1" applyFill="1" applyAlignment="1" applyProtection="1">
      <alignment vertical="center"/>
    </xf>
    <xf numFmtId="0" fontId="43" fillId="33" borderId="0" xfId="487" applyFont="1" applyFill="1" applyBorder="1" applyAlignment="1" applyProtection="1">
      <alignment horizontal="center" vertical="center"/>
      <protection hidden="1"/>
    </xf>
    <xf numFmtId="0" fontId="44" fillId="0" borderId="27" xfId="487" applyFont="1" applyFill="1" applyBorder="1" applyAlignment="1" applyProtection="1">
      <alignment horizontal="center"/>
      <protection hidden="1"/>
    </xf>
    <xf numFmtId="0" fontId="46" fillId="33" borderId="38" xfId="0" applyFont="1" applyFill="1" applyBorder="1" applyAlignment="1" applyProtection="1">
      <alignment horizontal="center" vertical="center" wrapText="1"/>
      <protection hidden="1"/>
    </xf>
    <xf numFmtId="0" fontId="46" fillId="33" borderId="0" xfId="0" applyFont="1" applyFill="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7" fillId="33" borderId="15" xfId="0" applyFont="1" applyFill="1" applyBorder="1" applyAlignment="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lignment vertical="center" wrapText="1"/>
    </xf>
    <xf numFmtId="0" fontId="5" fillId="33" borderId="22" xfId="0" applyFont="1" applyFill="1" applyBorder="1" applyAlignment="1" applyProtection="1">
      <alignment horizontal="left" wrapText="1"/>
      <protection hidden="1"/>
    </xf>
    <xf numFmtId="0" fontId="53" fillId="0" borderId="0" xfId="0" applyFont="1" applyAlignment="1" applyProtection="1">
      <alignment horizontal="right" wrapText="1"/>
      <protection hidden="1"/>
    </xf>
    <xf numFmtId="0" fontId="5" fillId="0" borderId="43" xfId="0" applyFont="1" applyBorder="1" applyAlignment="1" applyProtection="1">
      <alignment horizontal="center"/>
      <protection hidden="1"/>
    </xf>
    <xf numFmtId="0" fontId="39" fillId="0" borderId="0" xfId="0" applyFont="1" applyProtection="1">
      <protection hidden="1"/>
    </xf>
    <xf numFmtId="2" fontId="26" fillId="33" borderId="11" xfId="570" applyNumberFormat="1" applyFont="1" applyFill="1" applyBorder="1" applyAlignment="1">
      <alignment horizontal="center" vertical="top" wrapText="1"/>
    </xf>
    <xf numFmtId="0" fontId="26" fillId="33" borderId="18" xfId="570" applyFont="1" applyFill="1" applyBorder="1" applyAlignment="1">
      <alignment horizontal="center" vertical="top" wrapText="1"/>
    </xf>
    <xf numFmtId="0" fontId="51" fillId="0" borderId="0" xfId="0" applyFont="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Font="1" applyBorder="1" applyAlignment="1" applyProtection="1">
      <alignment vertical="top" wrapText="1"/>
      <protection hidden="1"/>
    </xf>
    <xf numFmtId="0" fontId="50" fillId="0" borderId="0" xfId="0" applyFont="1"/>
    <xf numFmtId="0" fontId="0" fillId="36" borderId="0" xfId="0" applyFill="1" applyProtection="1">
      <protection hidden="1"/>
    </xf>
    <xf numFmtId="0" fontId="26" fillId="0" borderId="19" xfId="0" applyFont="1" applyBorder="1" applyAlignment="1">
      <alignment vertical="top" wrapText="1"/>
    </xf>
    <xf numFmtId="170" fontId="26" fillId="33" borderId="11" xfId="570" applyNumberFormat="1" applyFont="1" applyFill="1" applyBorder="1" applyAlignment="1">
      <alignment horizontal="center" vertical="top" wrapText="1"/>
    </xf>
    <xf numFmtId="1" fontId="41" fillId="0" borderId="0" xfId="0" applyNumberFormat="1" applyFont="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0" fillId="0" borderId="45" xfId="0" applyBorder="1"/>
    <xf numFmtId="0" fontId="80" fillId="11" borderId="0" xfId="0" applyFont="1" applyFill="1" applyProtection="1">
      <protection hidden="1"/>
    </xf>
    <xf numFmtId="0" fontId="54" fillId="0" borderId="0" xfId="0" applyFont="1" applyAlignment="1">
      <alignment vertical="top" wrapText="1"/>
    </xf>
    <xf numFmtId="0" fontId="5" fillId="36" borderId="35" xfId="0"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6" fillId="33" borderId="19" xfId="570" applyNumberFormat="1" applyFont="1" applyFill="1" applyBorder="1" applyAlignment="1">
      <alignment horizontal="center" vertical="top" wrapText="1"/>
    </xf>
    <xf numFmtId="168" fontId="26" fillId="33" borderId="19" xfId="570" applyNumberFormat="1" applyFont="1" applyFill="1" applyBorder="1" applyAlignment="1">
      <alignment horizontal="center" vertical="top" wrapText="1"/>
    </xf>
    <xf numFmtId="0" fontId="81" fillId="36" borderId="19" xfId="0" applyFont="1" applyFill="1" applyBorder="1" applyAlignment="1" applyProtection="1">
      <alignment horizontal="left" vertical="center" wrapText="1"/>
      <protection hidden="1"/>
    </xf>
    <xf numFmtId="0" fontId="26" fillId="33" borderId="18" xfId="570" applyFont="1" applyFill="1" applyBorder="1" applyAlignment="1">
      <alignment vertical="center" wrapText="1"/>
    </xf>
    <xf numFmtId="0" fontId="26" fillId="33" borderId="48" xfId="570" applyFont="1" applyFill="1" applyBorder="1" applyAlignment="1">
      <alignment vertical="top" wrapText="1"/>
    </xf>
    <xf numFmtId="0" fontId="26" fillId="33" borderId="49" xfId="570" applyFont="1" applyFill="1" applyBorder="1" applyAlignment="1">
      <alignment vertical="top" wrapText="1"/>
    </xf>
    <xf numFmtId="0" fontId="7" fillId="0" borderId="11" xfId="0" applyFont="1" applyBorder="1" applyAlignment="1">
      <alignment wrapText="1"/>
    </xf>
    <xf numFmtId="0" fontId="26" fillId="33" borderId="18" xfId="570" applyFont="1" applyFill="1" applyBorder="1" applyAlignment="1">
      <alignment horizontal="left" vertical="top" wrapText="1"/>
    </xf>
    <xf numFmtId="0" fontId="7" fillId="0" borderId="18" xfId="0" applyFont="1" applyBorder="1" applyAlignment="1">
      <alignment vertical="top" wrapText="1"/>
    </xf>
    <xf numFmtId="0" fontId="26" fillId="33" borderId="19" xfId="570" applyFont="1" applyFill="1" applyBorder="1" applyAlignment="1">
      <alignment vertical="top" wrapText="1"/>
    </xf>
    <xf numFmtId="0" fontId="48" fillId="33" borderId="50" xfId="0" applyFont="1" applyFill="1" applyBorder="1" applyAlignment="1" applyProtection="1">
      <alignment horizontal="center" vertical="center" wrapText="1"/>
      <protection hidden="1"/>
    </xf>
    <xf numFmtId="0" fontId="48" fillId="0" borderId="51" xfId="0" applyFont="1" applyBorder="1" applyAlignment="1" applyProtection="1">
      <alignment horizontal="center" vertical="center" wrapText="1"/>
      <protection hidden="1"/>
    </xf>
    <xf numFmtId="0" fontId="36" fillId="0" borderId="52" xfId="0" applyFont="1" applyBorder="1" applyAlignment="1" applyProtection="1">
      <alignment vertical="center" wrapText="1"/>
      <protection hidden="1"/>
    </xf>
    <xf numFmtId="0" fontId="54"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10" fillId="33" borderId="0" xfId="0" applyNumberFormat="1" applyFont="1" applyFill="1"/>
    <xf numFmtId="168" fontId="15" fillId="33" borderId="0" xfId="0" applyNumberFormat="1" applyFont="1" applyFill="1" applyAlignment="1">
      <alignment horizontal="center" vertical="center" wrapText="1"/>
    </xf>
    <xf numFmtId="168" fontId="12" fillId="33" borderId="0" xfId="0" applyNumberFormat="1" applyFont="1" applyFill="1" applyAlignment="1">
      <alignment horizontal="center" vertical="center"/>
    </xf>
    <xf numFmtId="168" fontId="28"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10"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5"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Alignment="1" applyProtection="1">
      <alignment vertical="center" wrapText="1"/>
      <protection hidden="1"/>
    </xf>
    <xf numFmtId="0" fontId="47" fillId="33" borderId="0" xfId="0" applyFont="1" applyFill="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9" fillId="0" borderId="0" xfId="0" applyFont="1" applyAlignment="1" applyProtection="1">
      <alignment vertical="center" wrapText="1"/>
      <protection locked="0"/>
    </xf>
    <xf numFmtId="170" fontId="26" fillId="33" borderId="19" xfId="570" applyNumberFormat="1" applyFont="1" applyFill="1" applyBorder="1" applyAlignment="1">
      <alignment horizontal="center" vertical="top" wrapText="1"/>
    </xf>
    <xf numFmtId="0" fontId="6" fillId="0" borderId="35" xfId="0" applyFont="1" applyBorder="1" applyAlignment="1" applyProtection="1">
      <alignment vertical="top" wrapText="1"/>
      <protection hidden="1"/>
    </xf>
    <xf numFmtId="9" fontId="82"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4" fillId="0" borderId="0" xfId="0" applyFont="1" applyAlignment="1" applyProtection="1">
      <alignment vertical="top" wrapText="1"/>
      <protection hidden="1"/>
    </xf>
    <xf numFmtId="0" fontId="52" fillId="0" borderId="0" xfId="0" applyFont="1" applyAlignment="1">
      <alignment vertical="top" wrapText="1"/>
    </xf>
    <xf numFmtId="49" fontId="0" fillId="0" borderId="0" xfId="0" applyNumberFormat="1"/>
    <xf numFmtId="0" fontId="50" fillId="0" borderId="0" xfId="0" applyFont="1" applyAlignment="1">
      <alignment vertical="top" wrapText="1"/>
    </xf>
    <xf numFmtId="9" fontId="50" fillId="0" borderId="0" xfId="0" applyNumberFormat="1" applyFont="1" applyAlignment="1">
      <alignment horizontal="left" vertical="top" wrapText="1"/>
    </xf>
    <xf numFmtId="9" fontId="0" fillId="0" borderId="0" xfId="0" applyNumberFormat="1" applyAlignment="1">
      <alignment horizontal="left" vertical="top" wrapText="1"/>
    </xf>
    <xf numFmtId="0" fontId="54" fillId="36" borderId="19" xfId="0" applyFont="1" applyFill="1" applyBorder="1" applyAlignment="1">
      <alignment vertical="center" wrapText="1"/>
    </xf>
    <xf numFmtId="0" fontId="54"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5" fillId="33" borderId="0" xfId="0" applyFont="1" applyFill="1" applyAlignment="1" applyProtection="1">
      <alignment horizontal="center" vertical="center" wrapText="1"/>
      <protection hidden="1"/>
    </xf>
    <xf numFmtId="0" fontId="16" fillId="33" borderId="10" xfId="0" applyFont="1" applyFill="1" applyBorder="1" applyAlignment="1">
      <alignment vertical="center" wrapText="1"/>
    </xf>
    <xf numFmtId="0" fontId="15" fillId="33" borderId="38" xfId="0" applyFont="1" applyFill="1" applyBorder="1" applyAlignment="1">
      <alignment wrapText="1"/>
    </xf>
    <xf numFmtId="0" fontId="43"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8" fillId="0" borderId="0" xfId="0" applyFont="1" applyAlignment="1">
      <alignment vertical="top" wrapText="1"/>
    </xf>
    <xf numFmtId="0" fontId="0" fillId="36" borderId="19" xfId="0" applyFill="1" applyBorder="1" applyAlignment="1">
      <alignment vertical="center" wrapText="1"/>
    </xf>
    <xf numFmtId="0" fontId="50" fillId="0" borderId="0" xfId="502" applyFont="1" applyAlignment="1">
      <alignment horizontal="left" vertical="top" wrapText="1"/>
    </xf>
    <xf numFmtId="0" fontId="27"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90" fillId="0" borderId="35" xfId="0" applyFont="1" applyBorder="1" applyAlignment="1" applyProtection="1">
      <alignment vertical="center" wrapText="1"/>
      <protection hidden="1"/>
    </xf>
    <xf numFmtId="168" fontId="54" fillId="0" borderId="0" xfId="480" applyFont="1" applyAlignment="1">
      <alignment horizontal="left" vertical="top" wrapText="1"/>
    </xf>
    <xf numFmtId="168" fontId="50" fillId="0" borderId="0" xfId="480" applyFont="1" applyAlignment="1">
      <alignment vertical="top" wrapText="1"/>
    </xf>
    <xf numFmtId="0" fontId="82" fillId="0" borderId="0" xfId="502" applyFont="1" applyAlignment="1">
      <alignment horizontal="left" vertical="top" wrapText="1"/>
    </xf>
    <xf numFmtId="0" fontId="50" fillId="0" borderId="0" xfId="0" applyFont="1" applyAlignment="1">
      <alignment horizontal="left" vertical="top" wrapText="1"/>
    </xf>
    <xf numFmtId="0" fontId="50" fillId="0" borderId="0" xfId="569" applyFont="1" applyAlignment="1">
      <alignment vertical="top" wrapText="1"/>
    </xf>
    <xf numFmtId="168" fontId="54" fillId="0" borderId="0" xfId="480" applyFont="1" applyAlignment="1">
      <alignment vertical="top" wrapText="1"/>
    </xf>
    <xf numFmtId="9" fontId="93" fillId="0" borderId="0" xfId="480" applyNumberFormat="1" applyFont="1" applyAlignment="1">
      <alignment horizontal="left" vertical="top" wrapText="1"/>
    </xf>
    <xf numFmtId="0" fontId="82" fillId="0" borderId="0" xfId="502" applyFont="1" applyAlignment="1">
      <alignment horizontal="justify" vertical="top"/>
    </xf>
    <xf numFmtId="0" fontId="50" fillId="0" borderId="0" xfId="502" applyFont="1" applyAlignment="1">
      <alignment horizontal="justify" vertical="top"/>
    </xf>
    <xf numFmtId="0" fontId="50" fillId="0" borderId="0" xfId="0" applyFont="1" applyAlignment="1">
      <alignment horizontal="left" vertical="top"/>
    </xf>
    <xf numFmtId="0" fontId="93" fillId="0" borderId="0" xfId="502" applyFont="1" applyAlignment="1">
      <alignment horizontal="justify" vertical="top"/>
    </xf>
    <xf numFmtId="0" fontId="55" fillId="0" borderId="0" xfId="502" applyFont="1" applyAlignment="1">
      <alignment horizontal="left" vertical="top" wrapText="1"/>
    </xf>
    <xf numFmtId="0" fontId="93" fillId="0" borderId="0" xfId="502" applyFont="1" applyAlignment="1">
      <alignment horizontal="left" vertical="top" wrapText="1"/>
    </xf>
    <xf numFmtId="0" fontId="94" fillId="0" borderId="0" xfId="502" applyFont="1" applyAlignment="1">
      <alignment vertical="top" wrapText="1"/>
    </xf>
    <xf numFmtId="0" fontId="82" fillId="0" borderId="0" xfId="502" applyFont="1" applyAlignment="1">
      <alignment vertical="top" wrapText="1"/>
    </xf>
    <xf numFmtId="0" fontId="95" fillId="0" borderId="0" xfId="0" applyFont="1"/>
    <xf numFmtId="168" fontId="54" fillId="0" borderId="0" xfId="480" applyFont="1" applyAlignment="1" applyProtection="1">
      <alignment horizontal="left" vertical="top" wrapText="1"/>
      <protection hidden="1"/>
    </xf>
    <xf numFmtId="0" fontId="96"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4" fillId="36" borderId="19" xfId="0" applyFont="1" applyFill="1" applyBorder="1" applyAlignment="1">
      <alignment vertical="top" wrapText="1"/>
    </xf>
    <xf numFmtId="0" fontId="54" fillId="36" borderId="19" xfId="502"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49" fontId="0" fillId="0" borderId="19" xfId="0" applyNumberFormat="1" applyBorder="1" applyProtection="1">
      <protection locked="0"/>
    </xf>
    <xf numFmtId="0" fontId="2" fillId="0" borderId="0" xfId="592" applyAlignment="1">
      <alignment vertical="top" wrapText="1"/>
    </xf>
    <xf numFmtId="0" fontId="54" fillId="0" borderId="0" xfId="502" applyFont="1" applyAlignment="1">
      <alignment horizontal="left" vertical="top" wrapText="1"/>
    </xf>
    <xf numFmtId="0" fontId="54" fillId="0" borderId="0" xfId="502" applyFont="1" applyAlignment="1">
      <alignment horizontal="justify" vertical="top"/>
    </xf>
    <xf numFmtId="0" fontId="54" fillId="0" borderId="0" xfId="506" applyFont="1" applyAlignment="1">
      <alignment horizontal="left" vertical="top" wrapText="1"/>
    </xf>
    <xf numFmtId="0" fontId="15"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2" fillId="0" borderId="0" xfId="507" applyFont="1" applyAlignment="1">
      <alignment horizontal="left" vertical="top" wrapText="1"/>
    </xf>
    <xf numFmtId="0" fontId="50" fillId="0" borderId="0" xfId="507" applyFont="1" applyAlignment="1">
      <alignment horizontal="left" vertical="top" wrapText="1"/>
    </xf>
    <xf numFmtId="0" fontId="89" fillId="0" borderId="0" xfId="0" applyFont="1" applyAlignment="1">
      <alignment vertical="top" wrapText="1"/>
    </xf>
    <xf numFmtId="0" fontId="51"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6" fillId="33" borderId="37" xfId="0" applyNumberFormat="1" applyFont="1" applyFill="1" applyBorder="1" applyAlignment="1" applyProtection="1">
      <alignment horizontal="left" vertical="center" wrapText="1"/>
      <protection locked="0"/>
    </xf>
    <xf numFmtId="168" fontId="26" fillId="0" borderId="19" xfId="570" applyNumberFormat="1" applyFont="1" applyBorder="1" applyAlignment="1">
      <alignment horizontal="center" vertical="top" wrapText="1"/>
    </xf>
    <xf numFmtId="0" fontId="12"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2" fillId="33" borderId="17" xfId="0" applyFont="1" applyFill="1" applyBorder="1" applyAlignment="1" applyProtection="1">
      <alignment vertical="center" wrapText="1"/>
      <protection locked="0"/>
    </xf>
    <xf numFmtId="49" fontId="0" fillId="0" borderId="0" xfId="0" applyNumberFormat="1" applyProtection="1">
      <protection locked="0"/>
    </xf>
    <xf numFmtId="0" fontId="37"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0" fillId="33" borderId="70" xfId="0" applyFill="1"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hidden="1"/>
    </xf>
    <xf numFmtId="0" fontId="0" fillId="0" borderId="69" xfId="0" applyBorder="1" applyAlignment="1" applyProtection="1">
      <alignment wrapText="1"/>
      <protection locked="0"/>
    </xf>
    <xf numFmtId="0" fontId="0" fillId="0" borderId="72" xfId="0" applyBorder="1" applyAlignment="1" applyProtection="1">
      <alignment wrapText="1"/>
      <protection locked="0"/>
    </xf>
    <xf numFmtId="0" fontId="0" fillId="0" borderId="69" xfId="0" applyBorder="1" applyAlignment="1" applyProtection="1">
      <alignment vertical="center" wrapText="1"/>
      <protection locked="0" hidden="1"/>
    </xf>
    <xf numFmtId="0" fontId="0" fillId="0" borderId="71" xfId="0" applyBorder="1" applyAlignment="1" applyProtection="1">
      <alignment horizontal="left" vertical="center"/>
      <protection locked="0" hidden="1"/>
    </xf>
    <xf numFmtId="0" fontId="0" fillId="33" borderId="53" xfId="0" applyFill="1" applyBorder="1" applyAlignment="1" applyProtection="1">
      <alignment horizontal="left" vertical="center"/>
      <protection locked="0" hidden="1"/>
    </xf>
    <xf numFmtId="0" fontId="0" fillId="0" borderId="69" xfId="0" applyBorder="1" applyProtection="1">
      <protection locked="0"/>
    </xf>
    <xf numFmtId="0" fontId="0" fillId="33" borderId="42" xfId="0" applyFill="1" applyBorder="1" applyAlignment="1" applyProtection="1">
      <alignment horizontal="left" vertical="center"/>
      <protection locked="0"/>
    </xf>
    <xf numFmtId="49" fontId="1" fillId="0" borderId="19" xfId="703" applyNumberFormat="1" applyBorder="1" applyProtection="1">
      <protection locked="0"/>
    </xf>
    <xf numFmtId="0" fontId="1" fillId="0" borderId="48" xfId="703" applyBorder="1" applyAlignment="1" applyProtection="1">
      <alignment horizontal="left" vertical="center" wrapText="1"/>
      <protection locked="0" hidden="1"/>
    </xf>
    <xf numFmtId="0" fontId="1" fillId="0" borderId="19" xfId="703" applyBorder="1" applyAlignment="1" applyProtection="1">
      <alignment vertical="center" wrapText="1"/>
      <protection locked="0" hidden="1"/>
    </xf>
    <xf numFmtId="0" fontId="1" fillId="0" borderId="48" xfId="703" applyBorder="1" applyAlignment="1" applyProtection="1">
      <alignment horizontal="left" vertical="center" wrapText="1"/>
      <protection locked="0"/>
    </xf>
    <xf numFmtId="0" fontId="1" fillId="33" borderId="53" xfId="703" applyFill="1" applyBorder="1" applyAlignment="1" applyProtection="1">
      <alignment horizontal="left" vertical="center" wrapText="1"/>
      <protection locked="0" hidden="1"/>
    </xf>
    <xf numFmtId="0" fontId="1" fillId="33" borderId="42" xfId="703" applyFill="1" applyBorder="1" applyAlignment="1" applyProtection="1">
      <alignment horizontal="left" vertical="center" wrapText="1"/>
      <protection locked="0" hidden="1"/>
    </xf>
    <xf numFmtId="0" fontId="1" fillId="0" borderId="19" xfId="703" applyBorder="1" applyAlignment="1" applyProtection="1">
      <alignment vertical="center" wrapText="1"/>
      <protection locked="0"/>
    </xf>
    <xf numFmtId="0" fontId="1" fillId="33" borderId="42" xfId="703" applyFill="1" applyBorder="1" applyAlignment="1" applyProtection="1">
      <alignment horizontal="left" vertical="center" wrapText="1"/>
      <protection locked="0"/>
    </xf>
    <xf numFmtId="0" fontId="1" fillId="0" borderId="56" xfId="703" applyBorder="1" applyAlignment="1" applyProtection="1">
      <alignment vertical="center" wrapText="1"/>
      <protection locked="0"/>
    </xf>
    <xf numFmtId="0" fontId="1" fillId="33" borderId="19" xfId="703" applyFill="1" applyBorder="1" applyAlignment="1" applyProtection="1">
      <alignment horizontal="left" vertical="center" wrapText="1"/>
      <protection locked="0"/>
    </xf>
    <xf numFmtId="49" fontId="1" fillId="0" borderId="19" xfId="1001" applyNumberFormat="1" applyBorder="1" applyProtection="1">
      <protection locked="0"/>
    </xf>
    <xf numFmtId="0" fontId="1" fillId="0" borderId="48" xfId="1001" applyBorder="1" applyAlignment="1" applyProtection="1">
      <alignment horizontal="left" vertical="center" wrapText="1"/>
      <protection locked="0" hidden="1"/>
    </xf>
    <xf numFmtId="0" fontId="1" fillId="0" borderId="19" xfId="1001" applyBorder="1" applyAlignment="1" applyProtection="1">
      <alignment vertical="center" wrapText="1"/>
      <protection locked="0" hidden="1"/>
    </xf>
    <xf numFmtId="0" fontId="1" fillId="0" borderId="48" xfId="1001" applyBorder="1" applyAlignment="1" applyProtection="1">
      <alignment horizontal="left" vertical="center" wrapText="1"/>
      <protection locked="0"/>
    </xf>
    <xf numFmtId="0" fontId="1" fillId="33" borderId="53" xfId="1001" applyFill="1" applyBorder="1" applyAlignment="1" applyProtection="1">
      <alignment horizontal="left" vertical="center" wrapText="1"/>
      <protection locked="0" hidden="1"/>
    </xf>
    <xf numFmtId="0" fontId="1" fillId="33" borderId="42" xfId="1001" applyFill="1" applyBorder="1" applyAlignment="1" applyProtection="1">
      <alignment horizontal="left" vertical="center" wrapText="1"/>
      <protection locked="0" hidden="1"/>
    </xf>
    <xf numFmtId="0" fontId="1" fillId="0" borderId="19" xfId="1001" applyBorder="1" applyAlignment="1" applyProtection="1">
      <alignment vertical="center" wrapText="1"/>
      <protection locked="0"/>
    </xf>
    <xf numFmtId="0" fontId="1" fillId="33" borderId="42" xfId="1001" applyFill="1" applyBorder="1" applyAlignment="1" applyProtection="1">
      <alignment horizontal="left" vertical="center" wrapText="1"/>
      <protection locked="0"/>
    </xf>
    <xf numFmtId="0" fontId="1" fillId="0" borderId="56" xfId="1001" applyBorder="1" applyAlignment="1" applyProtection="1">
      <alignment vertical="center" wrapText="1"/>
      <protection locked="0"/>
    </xf>
    <xf numFmtId="0" fontId="1" fillId="33" borderId="19" xfId="1001" applyFill="1" applyBorder="1" applyAlignment="1" applyProtection="1">
      <alignment horizontal="left" vertical="center" wrapText="1"/>
      <protection locked="0"/>
    </xf>
    <xf numFmtId="0" fontId="26" fillId="33" borderId="48" xfId="570" applyFont="1" applyFill="1" applyBorder="1" applyAlignment="1">
      <alignment horizontal="center" vertical="top" wrapText="1"/>
    </xf>
    <xf numFmtId="0" fontId="26" fillId="33" borderId="49" xfId="570" applyFont="1" applyFill="1" applyBorder="1" applyAlignment="1">
      <alignment horizontal="center" vertical="top" wrapText="1"/>
    </xf>
    <xf numFmtId="0" fontId="26" fillId="33" borderId="11" xfId="570" applyFont="1" applyFill="1" applyBorder="1" applyAlignment="1">
      <alignment horizontal="center" vertical="top" wrapText="1"/>
    </xf>
    <xf numFmtId="2" fontId="26" fillId="33" borderId="48" xfId="570" applyNumberFormat="1" applyFont="1" applyFill="1" applyBorder="1" applyAlignment="1">
      <alignment horizontal="center" vertical="top" wrapText="1"/>
    </xf>
    <xf numFmtId="2" fontId="26" fillId="33" borderId="49" xfId="570" applyNumberFormat="1" applyFont="1" applyFill="1" applyBorder="1" applyAlignment="1">
      <alignment horizontal="center" vertical="top" wrapText="1"/>
    </xf>
    <xf numFmtId="2" fontId="26" fillId="33" borderId="11" xfId="570" applyNumberFormat="1" applyFont="1" applyFill="1" applyBorder="1" applyAlignment="1">
      <alignment horizontal="center" vertical="top" wrapText="1"/>
    </xf>
    <xf numFmtId="0" fontId="26" fillId="0" borderId="48" xfId="570" applyFont="1" applyBorder="1" applyAlignment="1">
      <alignment horizontal="center" vertical="top" wrapText="1"/>
    </xf>
    <xf numFmtId="0" fontId="26" fillId="0" borderId="49" xfId="570" applyFont="1" applyBorder="1" applyAlignment="1">
      <alignment horizontal="center" vertical="top" wrapText="1"/>
    </xf>
    <xf numFmtId="0" fontId="26" fillId="0" borderId="11" xfId="570" applyFont="1" applyBorder="1" applyAlignment="1">
      <alignment horizontal="center" vertical="top" wrapText="1"/>
    </xf>
    <xf numFmtId="168" fontId="26" fillId="0" borderId="48" xfId="570" applyNumberFormat="1" applyFont="1" applyBorder="1" applyAlignment="1">
      <alignment horizontal="center" vertical="top" wrapText="1"/>
    </xf>
    <xf numFmtId="168" fontId="26" fillId="0" borderId="49" xfId="570" applyNumberFormat="1" applyFont="1" applyBorder="1" applyAlignment="1">
      <alignment horizontal="center" vertical="top" wrapText="1"/>
    </xf>
    <xf numFmtId="168" fontId="26" fillId="0" borderId="11" xfId="570" applyNumberFormat="1" applyFont="1" applyBorder="1" applyAlignment="1">
      <alignment horizontal="center" vertical="top" wrapText="1"/>
    </xf>
    <xf numFmtId="0" fontId="26" fillId="33" borderId="48" xfId="570" applyFont="1" applyFill="1" applyBorder="1" applyAlignment="1">
      <alignment horizontal="left" vertical="top" wrapText="1"/>
    </xf>
    <xf numFmtId="0" fontId="26" fillId="33" borderId="49" xfId="570" applyFont="1" applyFill="1" applyBorder="1" applyAlignment="1">
      <alignment horizontal="left" vertical="top" wrapText="1"/>
    </xf>
    <xf numFmtId="0" fontId="26" fillId="33" borderId="11" xfId="570" applyFont="1" applyFill="1" applyBorder="1" applyAlignment="1">
      <alignment horizontal="left" vertical="top" wrapText="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Alignment="1">
      <alignment horizontal="center"/>
    </xf>
    <xf numFmtId="0" fontId="27" fillId="33" borderId="0" xfId="0" applyFont="1" applyFill="1" applyAlignment="1">
      <alignment horizontal="center" vertical="center" wrapText="1"/>
    </xf>
    <xf numFmtId="0" fontId="27" fillId="33" borderId="57" xfId="0" applyFont="1" applyFill="1" applyBorder="1" applyAlignment="1">
      <alignment horizontal="center" vertical="center" wrapText="1"/>
    </xf>
    <xf numFmtId="168" fontId="26" fillId="33" borderId="48" xfId="570" applyNumberFormat="1" applyFont="1" applyFill="1" applyBorder="1" applyAlignment="1">
      <alignment horizontal="center" vertical="top" wrapText="1"/>
    </xf>
    <xf numFmtId="168" fontId="26" fillId="33" borderId="49" xfId="570" applyNumberFormat="1" applyFont="1" applyFill="1" applyBorder="1" applyAlignment="1">
      <alignment horizontal="center" vertical="top" wrapText="1"/>
    </xf>
    <xf numFmtId="168" fontId="26"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6" fillId="0" borderId="58" xfId="0" applyFont="1" applyBorder="1" applyAlignment="1" applyProtection="1">
      <alignment horizontal="left" wrapText="1"/>
      <protection locked="0"/>
    </xf>
    <xf numFmtId="0" fontId="16" fillId="0" borderId="10" xfId="0" applyFont="1" applyBorder="1" applyAlignment="1" applyProtection="1">
      <alignment horizontal="left" wrapText="1"/>
      <protection locked="0"/>
    </xf>
    <xf numFmtId="0" fontId="16" fillId="0" borderId="37" xfId="0" applyFont="1" applyBorder="1" applyAlignment="1" applyProtection="1">
      <alignment horizontal="left" wrapText="1"/>
      <protection locked="0"/>
    </xf>
    <xf numFmtId="0" fontId="16" fillId="33" borderId="58"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0" fontId="12" fillId="33" borderId="58"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0" fontId="10" fillId="33" borderId="27" xfId="0" applyFont="1" applyFill="1" applyBorder="1" applyAlignment="1" applyProtection="1">
      <alignment horizontal="center" wrapText="1"/>
      <protection hidden="1"/>
    </xf>
    <xf numFmtId="0" fontId="24" fillId="0" borderId="27" xfId="487" applyFont="1" applyFill="1" applyBorder="1" applyAlignment="1" applyProtection="1">
      <alignment horizontal="center"/>
      <protection hidden="1"/>
    </xf>
    <xf numFmtId="0" fontId="15" fillId="33" borderId="10" xfId="0" applyFont="1" applyFill="1" applyBorder="1" applyAlignment="1" applyProtection="1">
      <alignment horizontal="left" wrapText="1"/>
      <protection hidden="1"/>
    </xf>
    <xf numFmtId="0" fontId="16" fillId="33" borderId="10" xfId="0" applyFont="1" applyFill="1" applyBorder="1" applyAlignment="1">
      <alignment horizontal="center" vertical="center"/>
    </xf>
    <xf numFmtId="0" fontId="15" fillId="33" borderId="27" xfId="0" applyFont="1" applyFill="1" applyBorder="1" applyAlignment="1" applyProtection="1">
      <alignment horizontal="left" wrapText="1"/>
      <protection hidden="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33" borderId="58" xfId="0" applyFont="1" applyFill="1" applyBorder="1" applyAlignment="1" applyProtection="1">
      <alignment horizontal="left" vertical="center" wrapText="1"/>
      <protection locked="0"/>
    </xf>
    <xf numFmtId="0" fontId="16" fillId="33" borderId="37" xfId="0" applyFont="1" applyFill="1" applyBorder="1" applyAlignment="1" applyProtection="1">
      <alignment horizontal="left" vertical="center" wrapText="1"/>
      <protection locked="0"/>
    </xf>
    <xf numFmtId="0" fontId="12" fillId="33" borderId="10" xfId="0" applyFont="1" applyFill="1" applyBorder="1" applyAlignment="1">
      <alignment horizontal="left" vertical="center" wrapText="1"/>
    </xf>
    <xf numFmtId="0" fontId="86" fillId="0" borderId="34" xfId="487" applyFont="1" applyFill="1" applyBorder="1" applyAlignment="1" applyProtection="1">
      <alignment horizontal="left" vertical="center" wrapText="1"/>
    </xf>
    <xf numFmtId="0" fontId="86" fillId="0" borderId="27" xfId="487" applyFont="1" applyFill="1" applyBorder="1" applyAlignment="1" applyProtection="1">
      <alignment horizontal="left" vertical="center" wrapText="1"/>
    </xf>
    <xf numFmtId="0" fontId="86" fillId="0" borderId="59" xfId="487" applyFont="1" applyFill="1" applyBorder="1" applyAlignment="1" applyProtection="1">
      <alignment horizontal="left" vertical="center" wrapText="1"/>
    </xf>
    <xf numFmtId="0" fontId="16" fillId="0" borderId="58" xfId="0" applyFont="1" applyBorder="1" applyAlignment="1" applyProtection="1">
      <alignment horizontal="left" vertical="center"/>
      <protection locked="0"/>
    </xf>
    <xf numFmtId="0" fontId="16" fillId="0" borderId="37" xfId="0" applyFont="1" applyBorder="1" applyAlignment="1" applyProtection="1">
      <alignment horizontal="left" vertical="center"/>
      <protection locked="0"/>
    </xf>
    <xf numFmtId="9" fontId="16" fillId="33" borderId="58"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0" fontId="22" fillId="0" borderId="27" xfId="487" applyFont="1" applyFill="1" applyBorder="1" applyAlignment="1" applyProtection="1">
      <alignment horizontal="center" wrapText="1"/>
      <protection hidden="1"/>
    </xf>
    <xf numFmtId="49" fontId="16" fillId="33" borderId="58"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0" fontId="18" fillId="33" borderId="0" xfId="0" applyFont="1" applyFill="1" applyAlignment="1">
      <alignment horizontal="center" wrapText="1"/>
    </xf>
    <xf numFmtId="0" fontId="84" fillId="33" borderId="58" xfId="487" applyFont="1" applyFill="1" applyBorder="1" applyAlignment="1">
      <alignment horizontal="left" vertical="center" wrapText="1"/>
      <protection locked="0"/>
    </xf>
    <xf numFmtId="0" fontId="85" fillId="33" borderId="10" xfId="0" applyFont="1" applyFill="1" applyBorder="1" applyAlignment="1" applyProtection="1">
      <alignment horizontal="left" vertical="center" wrapText="1"/>
      <protection locked="0"/>
    </xf>
    <xf numFmtId="0" fontId="85"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4" fillId="33" borderId="58"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49" fontId="16" fillId="33" borderId="34" xfId="0" applyNumberFormat="1" applyFont="1" applyFill="1" applyBorder="1" applyAlignment="1" applyProtection="1">
      <alignment horizontal="left" vertical="center" wrapText="1"/>
      <protection locked="0"/>
    </xf>
    <xf numFmtId="49" fontId="16" fillId="33" borderId="27" xfId="0" applyNumberFormat="1" applyFont="1" applyFill="1" applyBorder="1" applyAlignment="1" applyProtection="1">
      <alignment horizontal="left" vertical="center" wrapText="1"/>
      <protection locked="0"/>
    </xf>
    <xf numFmtId="49" fontId="16" fillId="33" borderId="59" xfId="0" applyNumberFormat="1" applyFont="1" applyFill="1" applyBorder="1" applyAlignment="1" applyProtection="1">
      <alignment horizontal="left" vertical="center" wrapText="1"/>
      <protection locked="0"/>
    </xf>
    <xf numFmtId="0" fontId="15" fillId="33" borderId="0" xfId="0" applyFont="1" applyFill="1" applyAlignment="1" applyProtection="1">
      <alignment horizontal="center" vertical="center" wrapText="1"/>
      <protection hidden="1"/>
    </xf>
    <xf numFmtId="0" fontId="16" fillId="33" borderId="60"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3" xfId="0" applyFont="1" applyFill="1" applyBorder="1" applyAlignment="1" applyProtection="1">
      <alignment horizontal="left" vertical="center" wrapText="1"/>
      <protection locked="0"/>
    </xf>
    <xf numFmtId="0" fontId="25" fillId="0" borderId="28" xfId="487" applyFont="1" applyFill="1" applyBorder="1" applyAlignment="1" applyProtection="1">
      <alignment horizontal="center" vertical="center" wrapText="1"/>
      <protection hidden="1"/>
    </xf>
    <xf numFmtId="0" fontId="25" fillId="33" borderId="0" xfId="487" applyFont="1" applyFill="1" applyBorder="1" applyAlignment="1">
      <alignment horizontal="center"/>
      <protection locked="0"/>
    </xf>
    <xf numFmtId="49" fontId="87" fillId="33" borderId="58" xfId="487" applyNumberFormat="1" applyFont="1" applyFill="1" applyBorder="1" applyAlignment="1">
      <alignment horizontal="left" vertical="center" wrapText="1"/>
      <protection locked="0"/>
    </xf>
    <xf numFmtId="49" fontId="87" fillId="33" borderId="10" xfId="487" applyNumberFormat="1" applyFont="1" applyFill="1" applyBorder="1" applyAlignment="1">
      <alignment horizontal="left" vertical="center" wrapText="1"/>
      <protection locked="0"/>
    </xf>
    <xf numFmtId="49" fontId="87" fillId="33" borderId="37" xfId="487" applyNumberFormat="1" applyFont="1" applyFill="1" applyBorder="1" applyAlignment="1">
      <alignment horizontal="left" vertical="center" wrapText="1"/>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49" fontId="86" fillId="33" borderId="58" xfId="487" applyNumberFormat="1" applyFont="1" applyFill="1" applyBorder="1" applyAlignment="1">
      <alignment horizontal="left" vertical="center" wrapText="1"/>
      <protection locked="0"/>
    </xf>
    <xf numFmtId="49" fontId="87" fillId="33" borderId="10" xfId="0" applyNumberFormat="1" applyFont="1" applyFill="1" applyBorder="1" applyAlignment="1" applyProtection="1">
      <alignment horizontal="left" vertical="center" wrapText="1"/>
      <protection locked="0"/>
    </xf>
    <xf numFmtId="49" fontId="87" fillId="33" borderId="37" xfId="0" applyNumberFormat="1" applyFont="1" applyFill="1" applyBorder="1" applyAlignment="1" applyProtection="1">
      <alignment horizontal="left" vertical="center" wrapText="1"/>
      <protection locked="0"/>
    </xf>
    <xf numFmtId="49" fontId="16" fillId="0" borderId="58" xfId="0" applyNumberFormat="1" applyFont="1" applyBorder="1" applyAlignment="1" applyProtection="1">
      <alignment horizontal="left" vertical="center" wrapText="1"/>
      <protection locked="0"/>
    </xf>
    <xf numFmtId="49" fontId="16" fillId="0" borderId="10" xfId="0" applyNumberFormat="1" applyFont="1" applyBorder="1" applyAlignment="1" applyProtection="1">
      <alignment horizontal="left" vertical="center" wrapText="1"/>
      <protection locked="0"/>
    </xf>
    <xf numFmtId="49" fontId="16" fillId="0" borderId="37" xfId="0" applyNumberFormat="1" applyFont="1" applyBorder="1" applyAlignment="1" applyProtection="1">
      <alignment horizontal="left" vertical="center" wrapText="1"/>
      <protection locked="0"/>
    </xf>
    <xf numFmtId="169" fontId="15" fillId="33" borderId="34" xfId="0" applyNumberFormat="1" applyFont="1" applyFill="1" applyBorder="1" applyAlignment="1" applyProtection="1">
      <alignment horizontal="center" wrapText="1"/>
      <protection locked="0"/>
    </xf>
    <xf numFmtId="169" fontId="15" fillId="33" borderId="59"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0" fontId="49" fillId="33" borderId="38" xfId="487" applyFont="1" applyFill="1" applyBorder="1" applyAlignment="1" applyProtection="1">
      <alignment horizontal="center" vertical="center" wrapText="1"/>
      <protection hidden="1"/>
    </xf>
    <xf numFmtId="0" fontId="49" fillId="33" borderId="0" xfId="487" applyFont="1" applyFill="1" applyBorder="1" applyAlignment="1" applyProtection="1">
      <alignment horizontal="center" vertical="center" wrapText="1"/>
      <protection hidden="1"/>
    </xf>
    <xf numFmtId="0" fontId="99" fillId="0" borderId="57"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2" fillId="33" borderId="0" xfId="487" applyFont="1" applyFill="1" applyBorder="1" applyAlignment="1">
      <alignment horizontal="center" vertical="center"/>
      <protection locked="0"/>
    </xf>
    <xf numFmtId="0" fontId="35"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1025">
    <cellStyle name="_x0002_._x0011__x0002_._x001b__x0002_ _x0015_%_x0018__x0001_" xfId="1012" xr:uid="{5BC7193D-5987-4599-A00D-8C55DE600934}"/>
    <cellStyle name="20% - Accent1 2" xfId="1" xr:uid="{00000000-0005-0000-0000-000000000000}"/>
    <cellStyle name="20% - Accent1 2 2" xfId="593" xr:uid="{6D96F118-4E78-424E-80AD-4AC0C0F26500}"/>
    <cellStyle name="20% - Accent1 2 2 2" xfId="958" xr:uid="{EE56EAD1-A601-4498-93D9-79C52D0B0019}"/>
    <cellStyle name="20% - Accent2 2" xfId="2" xr:uid="{00000000-0005-0000-0000-000001000000}"/>
    <cellStyle name="20% - Accent2 2 2" xfId="594" xr:uid="{10929040-199E-4F72-88C2-4A53AFA075AB}"/>
    <cellStyle name="20% - Accent2 2 2 2" xfId="959" xr:uid="{F52B55B6-16EB-46B7-9A81-7E3D0130C53A}"/>
    <cellStyle name="20% - Accent3 2" xfId="3" xr:uid="{00000000-0005-0000-0000-000002000000}"/>
    <cellStyle name="20% - Accent3 2 2" xfId="595" xr:uid="{E8AA85A3-98C2-467E-935D-BBBBB5410249}"/>
    <cellStyle name="20% - Accent3 2 2 2" xfId="960" xr:uid="{8C5121C4-91B4-40C4-9A5B-87B7CD344D94}"/>
    <cellStyle name="20% - Accent4 2" xfId="4" xr:uid="{00000000-0005-0000-0000-000003000000}"/>
    <cellStyle name="20% - Accent4 2 2" xfId="596" xr:uid="{69FEB7F6-4CE6-4E6B-A862-2D2C39FFC485}"/>
    <cellStyle name="20% - Accent4 2 2 2" xfId="961" xr:uid="{6DA63473-2635-4CEA-A55C-EACC1C5E506B}"/>
    <cellStyle name="20% - Accent5 2" xfId="5" xr:uid="{00000000-0005-0000-0000-000004000000}"/>
    <cellStyle name="20% - Accent5 2 2" xfId="597" xr:uid="{4721B7B8-DDC5-40C1-8258-0F5AEE1FC109}"/>
    <cellStyle name="20% - Accent5 2 2 2" xfId="962" xr:uid="{A934A1A5-BFDE-41FD-AA70-A7772299075B}"/>
    <cellStyle name="20% - Accent6 2" xfId="6" xr:uid="{00000000-0005-0000-0000-000005000000}"/>
    <cellStyle name="20% - Accent6 2 2" xfId="598" xr:uid="{8F98B99B-3611-4E38-94EF-FFE0DA80F68C}"/>
    <cellStyle name="20% - Accent6 2 2 2" xfId="963" xr:uid="{09C7B6AC-EFA1-447B-B285-00F914C18EDF}"/>
    <cellStyle name="40% - Accent1 2" xfId="7" xr:uid="{00000000-0005-0000-0000-000006000000}"/>
    <cellStyle name="40% - Accent1 2 2" xfId="599" xr:uid="{35D9B8A2-CD72-4276-90A2-CF6AA6060923}"/>
    <cellStyle name="40% - Accent1 2 2 2" xfId="964" xr:uid="{99D2C072-6CD9-49B8-965A-137925209AB6}"/>
    <cellStyle name="40% - Accent2 2" xfId="8" xr:uid="{00000000-0005-0000-0000-000007000000}"/>
    <cellStyle name="40% - Accent2 2 2" xfId="600" xr:uid="{24BD563C-108E-4DE0-A1F5-C85F3F271263}"/>
    <cellStyle name="40% - Accent2 2 2 2" xfId="965" xr:uid="{C94A3197-5851-4422-AE62-ECC7F4680171}"/>
    <cellStyle name="40% - Accent3 2" xfId="9" xr:uid="{00000000-0005-0000-0000-000008000000}"/>
    <cellStyle name="40% - Accent3 2 2" xfId="601" xr:uid="{079F947A-2DB9-4525-AD58-2C34E3D7CD8C}"/>
    <cellStyle name="40% - Accent3 2 2 2" xfId="966" xr:uid="{4BFD4852-A76C-4182-AF08-F54DC39D1ED3}"/>
    <cellStyle name="40% - Accent4 2" xfId="10" xr:uid="{00000000-0005-0000-0000-000009000000}"/>
    <cellStyle name="40% - Accent4 2 2" xfId="602" xr:uid="{1B378518-D816-4C66-A520-F1D04A408670}"/>
    <cellStyle name="40% - Accent4 2 2 2" xfId="967" xr:uid="{D7EDE0D3-580A-4459-8E09-7D03DF81733E}"/>
    <cellStyle name="40% - Accent5 2" xfId="11" xr:uid="{00000000-0005-0000-0000-00000A000000}"/>
    <cellStyle name="40% - Accent5 2 2" xfId="603" xr:uid="{03B16B2B-5A26-480C-B274-FD655E392334}"/>
    <cellStyle name="40% - Accent5 2 2 2" xfId="968" xr:uid="{2A7DA04A-0E42-498A-A163-3BADE533C91C}"/>
    <cellStyle name="40% - Accent6 2" xfId="12" xr:uid="{00000000-0005-0000-0000-00000B000000}"/>
    <cellStyle name="40% - Accent6 2 2" xfId="604" xr:uid="{CFE466E7-3986-4C43-8004-7C6B3B10CE97}"/>
    <cellStyle name="40% - Accent6 2 2 2" xfId="969" xr:uid="{92F80CC3-0A6A-46E0-96F4-9E69E8271984}"/>
    <cellStyle name="60% - Accent1 2" xfId="13" xr:uid="{00000000-0005-0000-0000-00000C000000}"/>
    <cellStyle name="60% - Accent1 2 2" xfId="605" xr:uid="{FCEE8F62-B15B-4E82-BF5E-F96FA479D1C6}"/>
    <cellStyle name="60% - Accent1 2 2 2" xfId="970" xr:uid="{2D78E692-31B4-42DF-BD76-7B11BBBD9AEB}"/>
    <cellStyle name="60% - Accent2 2" xfId="14" xr:uid="{00000000-0005-0000-0000-00000D000000}"/>
    <cellStyle name="60% - Accent2 2 2" xfId="606" xr:uid="{9BC58DA9-A8B6-4468-8F4A-335B07E02F41}"/>
    <cellStyle name="60% - Accent2 2 2 2" xfId="971" xr:uid="{7079C049-0BCD-4C9F-B5D4-C46FFAB2737E}"/>
    <cellStyle name="60% - Accent3 2" xfId="15" xr:uid="{00000000-0005-0000-0000-00000E000000}"/>
    <cellStyle name="60% - Accent3 2 2" xfId="607" xr:uid="{6DC3382E-E8A7-4D95-9708-679CF26A014A}"/>
    <cellStyle name="60% - Accent3 2 2 2" xfId="972" xr:uid="{2A2D1AF2-AAC1-4EB2-BD38-A9C7F059BA7B}"/>
    <cellStyle name="60% - Accent4 2" xfId="16" xr:uid="{00000000-0005-0000-0000-00000F000000}"/>
    <cellStyle name="60% - Accent4 2 2" xfId="608" xr:uid="{F9493D1B-8B6D-4CB8-8FB3-E7F16C07C188}"/>
    <cellStyle name="60% - Accent4 2 2 2" xfId="973" xr:uid="{4A9986AB-DAF5-426D-BDAB-117DDE1EB957}"/>
    <cellStyle name="60% - Accent5 2" xfId="17" xr:uid="{00000000-0005-0000-0000-000010000000}"/>
    <cellStyle name="60% - Accent5 2 2" xfId="609" xr:uid="{78A77088-B60C-44D2-A0EF-F972C6352949}"/>
    <cellStyle name="60% - Accent5 2 2 2" xfId="974" xr:uid="{80ABA889-930D-4152-8417-97A43E8FC6A4}"/>
    <cellStyle name="60% - Accent6 2" xfId="18" xr:uid="{00000000-0005-0000-0000-000011000000}"/>
    <cellStyle name="60% - Accent6 2 2" xfId="610" xr:uid="{74C5A417-6CD8-4F8E-88FB-788B1AF42887}"/>
    <cellStyle name="60% - Accent6 2 2 2" xfId="975" xr:uid="{55E321A8-706A-47E5-AAB5-95634C6D0B6C}"/>
    <cellStyle name="Accent1 2" xfId="19" xr:uid="{00000000-0005-0000-0000-000012000000}"/>
    <cellStyle name="Accent1 2 2" xfId="611" xr:uid="{28101CF3-A5AC-4282-9179-D0B946CBF3D4}"/>
    <cellStyle name="Accent1 2 2 2" xfId="976" xr:uid="{4048FD8C-1E14-4D24-A8DB-9CBCB34574A3}"/>
    <cellStyle name="Accent2 2" xfId="20" xr:uid="{00000000-0005-0000-0000-000013000000}"/>
    <cellStyle name="Accent2 2 2" xfId="612" xr:uid="{4B754E57-7DF1-40D0-B993-2E9230B37303}"/>
    <cellStyle name="Accent2 2 2 2" xfId="977" xr:uid="{E7CC6C5A-84F7-41CE-91B6-23D227A2EDF6}"/>
    <cellStyle name="Accent3 2" xfId="21" xr:uid="{00000000-0005-0000-0000-000014000000}"/>
    <cellStyle name="Accent3 2 2" xfId="613" xr:uid="{C8DE4A07-FA3A-4821-823E-15FBA21AFACB}"/>
    <cellStyle name="Accent3 2 2 2" xfId="978" xr:uid="{370415E3-C5C5-43D4-8164-E62A4691C87A}"/>
    <cellStyle name="Accent4 2" xfId="22" xr:uid="{00000000-0005-0000-0000-000015000000}"/>
    <cellStyle name="Accent4 2 2" xfId="614" xr:uid="{734D0BBC-C4A6-477F-BE63-6BAAB9016481}"/>
    <cellStyle name="Accent4 2 2 2" xfId="979" xr:uid="{B287A883-FE5F-4E5C-ACC8-24ABFAC63804}"/>
    <cellStyle name="Accent5 2" xfId="23" xr:uid="{00000000-0005-0000-0000-000016000000}"/>
    <cellStyle name="Accent5 2 2" xfId="615" xr:uid="{0BA5CB25-8583-4653-AA7E-5C311DAA47E5}"/>
    <cellStyle name="Accent5 2 2 2" xfId="980" xr:uid="{8C20F4E9-D36A-46D6-94C9-6FEEF0BE90E0}"/>
    <cellStyle name="Accent6 2" xfId="24" xr:uid="{00000000-0005-0000-0000-000017000000}"/>
    <cellStyle name="Accent6 2 2" xfId="616" xr:uid="{15992878-11CC-4557-950B-246831D290B5}"/>
    <cellStyle name="Accent6 2 2 2" xfId="981" xr:uid="{795918B1-22B0-48E3-B5F0-488C5E953CE1}"/>
    <cellStyle name="Bad 2" xfId="25" xr:uid="{00000000-0005-0000-0000-000018000000}"/>
    <cellStyle name="Bad 2 2" xfId="618" xr:uid="{BDA2A260-FE12-4E28-935E-80FED0581C5B}"/>
    <cellStyle name="Bad 2 2 2" xfId="982" xr:uid="{0666C974-E14E-4E7E-A434-BAD5DD81CAF7}"/>
    <cellStyle name="Bad 2 3" xfId="617" xr:uid="{762E9121-493A-4612-84D8-3BE000E0D4CE}"/>
    <cellStyle name="Bad 3" xfId="26" xr:uid="{00000000-0005-0000-0000-000019000000}"/>
    <cellStyle name="Bad 3 2" xfId="619" xr:uid="{14EDE8E8-3FA4-4D71-BEA5-3E736D29FA1B}"/>
    <cellStyle name="Bad 3 2 2" xfId="983" xr:uid="{046345FB-2469-4B33-966C-28C9A894E2BD}"/>
    <cellStyle name="Calculation 2" xfId="27" xr:uid="{00000000-0005-0000-0000-00001A000000}"/>
    <cellStyle name="Calculation 2 2" xfId="620" xr:uid="{F37A71EA-6A48-487C-B2AF-EE8AA1551579}"/>
    <cellStyle name="Calculation 2 2 2" xfId="984" xr:uid="{703FC7F9-9A33-4B22-AF07-7A8AE53952B0}"/>
    <cellStyle name="Check Cell 2" xfId="28" xr:uid="{00000000-0005-0000-0000-00001B000000}"/>
    <cellStyle name="Check Cell 2 2" xfId="621" xr:uid="{F2AF0C21-92CF-41D6-BF25-D2214489A0D1}"/>
    <cellStyle name="Check Cell 2 2 2" xfId="985" xr:uid="{54724903-9553-461F-860C-1B865A15BB3B}"/>
    <cellStyle name="Comma [0] 2" xfId="29" xr:uid="{00000000-0005-0000-0000-00001C000000}"/>
    <cellStyle name="Comma [0] 2 2" xfId="685" xr:uid="{9D69F050-D3A8-40DD-A3A2-E96107EA7E31}"/>
    <cellStyle name="Comma [0] 3" xfId="30" xr:uid="{00000000-0005-0000-0000-00001D000000}"/>
    <cellStyle name="Comma [0] 3 2" xfId="682" xr:uid="{B5B3303C-FFB0-473D-B5F0-F134079A6514}"/>
    <cellStyle name="Comma [0] 4" xfId="31" xr:uid="{00000000-0005-0000-0000-00001E000000}"/>
    <cellStyle name="Comma 10" xfId="32" xr:uid="{00000000-0005-0000-0000-00001F000000}"/>
    <cellStyle name="Comma 10 2" xfId="668" xr:uid="{3127AD69-FE2B-45B6-BB70-7C0E8AC34289}"/>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 2" xfId="641" xr:uid="{CB544CF7-2860-4F18-93C6-0F45D09C820B}"/>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6 2" xfId="732" xr:uid="{FEEB89BC-3B16-4399-B2CE-4ED3DE54E675}"/>
    <cellStyle name="Comma 117" xfId="51" xr:uid="{00000000-0005-0000-0000-000032000000}"/>
    <cellStyle name="Comma 117 2" xfId="733" xr:uid="{E8AC3A4A-0EE4-4AB6-9499-9DAB44FBE8AB}"/>
    <cellStyle name="Comma 118" xfId="52" xr:uid="{00000000-0005-0000-0000-000033000000}"/>
    <cellStyle name="Comma 118 2" xfId="734" xr:uid="{A6F1B4B1-3DD7-4B27-B8E0-9AB200FCF493}"/>
    <cellStyle name="Comma 119" xfId="53" xr:uid="{00000000-0005-0000-0000-000034000000}"/>
    <cellStyle name="Comma 119 2" xfId="735" xr:uid="{6AC9A9C4-7C60-4C13-9C48-AFE93841CA4B}"/>
    <cellStyle name="Comma 12" xfId="54" xr:uid="{00000000-0005-0000-0000-000035000000}"/>
    <cellStyle name="Comma 12 2" xfId="736" xr:uid="{5052346B-70FF-4ABF-B48C-926ABEDBF12F}"/>
    <cellStyle name="Comma 120" xfId="55" xr:uid="{00000000-0005-0000-0000-000036000000}"/>
    <cellStyle name="Comma 120 2" xfId="737" xr:uid="{D26795E9-B3F3-4C77-885C-D08F6ADFED9B}"/>
    <cellStyle name="Comma 121" xfId="56" xr:uid="{00000000-0005-0000-0000-000037000000}"/>
    <cellStyle name="Comma 121 2" xfId="738" xr:uid="{1B6BE18E-4C7B-444F-AB19-5E9B891FFCB2}"/>
    <cellStyle name="Comma 122" xfId="57" xr:uid="{00000000-0005-0000-0000-000038000000}"/>
    <cellStyle name="Comma 122 2" xfId="739" xr:uid="{61B38604-5417-42D0-9752-A2EEE7243081}"/>
    <cellStyle name="Comma 123" xfId="58" xr:uid="{00000000-0005-0000-0000-000039000000}"/>
    <cellStyle name="Comma 123 2" xfId="740" xr:uid="{D198DAA1-C868-4F83-82BF-EEC45B0741CC}"/>
    <cellStyle name="Comma 124" xfId="59" xr:uid="{00000000-0005-0000-0000-00003A000000}"/>
    <cellStyle name="Comma 124 2" xfId="741" xr:uid="{502BF8CC-B254-44D8-A3BC-DEDDB6FD677C}"/>
    <cellStyle name="Comma 125" xfId="60" xr:uid="{00000000-0005-0000-0000-00003B000000}"/>
    <cellStyle name="Comma 125 2" xfId="742" xr:uid="{097277D6-E553-4556-B746-04095CDF2EB3}"/>
    <cellStyle name="Comma 126" xfId="61" xr:uid="{00000000-0005-0000-0000-00003C000000}"/>
    <cellStyle name="Comma 126 2" xfId="743" xr:uid="{0FE210FB-E624-4580-83EC-B7834F21D411}"/>
    <cellStyle name="Comma 127" xfId="62" xr:uid="{00000000-0005-0000-0000-00003D000000}"/>
    <cellStyle name="Comma 127 2" xfId="744" xr:uid="{BD3C7726-B611-4877-AD45-E6E09EA1F9F7}"/>
    <cellStyle name="Comma 128" xfId="63" xr:uid="{00000000-0005-0000-0000-00003E000000}"/>
    <cellStyle name="Comma 128 2" xfId="745" xr:uid="{B3419DFB-1053-4F61-9E31-0E8A6BE4502B}"/>
    <cellStyle name="Comma 129" xfId="64" xr:uid="{00000000-0005-0000-0000-00003F000000}"/>
    <cellStyle name="Comma 129 2" xfId="746" xr:uid="{ECB43B8F-D602-4C74-80A1-477862AD2617}"/>
    <cellStyle name="Comma 13" xfId="65" xr:uid="{00000000-0005-0000-0000-000040000000}"/>
    <cellStyle name="Comma 13 2" xfId="747" xr:uid="{4AA74B9C-E0C6-4DAA-A7F9-3A2CCB48FFE6}"/>
    <cellStyle name="Comma 130" xfId="66" xr:uid="{00000000-0005-0000-0000-000041000000}"/>
    <cellStyle name="Comma 130 2" xfId="748" xr:uid="{72B527D8-0EA7-41C5-AF85-B74A2A893223}"/>
    <cellStyle name="Comma 131" xfId="67" xr:uid="{00000000-0005-0000-0000-000042000000}"/>
    <cellStyle name="Comma 131 2" xfId="749" xr:uid="{2B05492F-9D05-4455-B35E-3A30A8FE8D91}"/>
    <cellStyle name="Comma 132" xfId="68" xr:uid="{00000000-0005-0000-0000-000043000000}"/>
    <cellStyle name="Comma 132 2" xfId="750" xr:uid="{4D0EE667-56D8-4F6B-B544-E4A01BC71FBC}"/>
    <cellStyle name="Comma 133" xfId="69" xr:uid="{00000000-0005-0000-0000-000044000000}"/>
    <cellStyle name="Comma 133 2" xfId="751" xr:uid="{98B38146-54D3-4F4A-BD22-EA273BA0862A}"/>
    <cellStyle name="Comma 134" xfId="70" xr:uid="{00000000-0005-0000-0000-000045000000}"/>
    <cellStyle name="Comma 134 2" xfId="752" xr:uid="{A96C57FD-288F-4E38-BE84-ACCF9F7C2FAE}"/>
    <cellStyle name="Comma 135" xfId="71" xr:uid="{00000000-0005-0000-0000-000046000000}"/>
    <cellStyle name="Comma 135 2" xfId="753" xr:uid="{F29E6948-3A5C-4D8E-A35A-EEEF38B8555A}"/>
    <cellStyle name="Comma 136" xfId="72" xr:uid="{00000000-0005-0000-0000-000047000000}"/>
    <cellStyle name="Comma 136 2" xfId="754" xr:uid="{03D2E57E-3F8E-4B70-9018-E54B0C334E62}"/>
    <cellStyle name="Comma 137" xfId="73" xr:uid="{00000000-0005-0000-0000-000048000000}"/>
    <cellStyle name="Comma 137 2" xfId="755" xr:uid="{5DF8BA97-6424-4C47-B857-BEE22A27586A}"/>
    <cellStyle name="Comma 138" xfId="74" xr:uid="{00000000-0005-0000-0000-000049000000}"/>
    <cellStyle name="Comma 138 2" xfId="756" xr:uid="{34BC52FA-B05B-42B9-87E7-3D54D016153E}"/>
    <cellStyle name="Comma 139" xfId="75" xr:uid="{00000000-0005-0000-0000-00004A000000}"/>
    <cellStyle name="Comma 14" xfId="76" xr:uid="{00000000-0005-0000-0000-00004B000000}"/>
    <cellStyle name="Comma 14 2" xfId="757" xr:uid="{48D33EAF-1813-42F0-A7F8-EECA9CF65FDF}"/>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 2" xfId="758" xr:uid="{8902858A-CA50-4726-A1EC-9593506F4F4E}"/>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 2" xfId="759" xr:uid="{37573DD8-1854-40FC-BE14-C95E500BDBC0}"/>
    <cellStyle name="Comma 160" xfId="99" xr:uid="{00000000-0005-0000-0000-000062000000}"/>
    <cellStyle name="Comma 160 2" xfId="760" xr:uid="{051F4FE1-49DD-4EE9-BC54-7F9B92C957AA}"/>
    <cellStyle name="Comma 161" xfId="100" xr:uid="{00000000-0005-0000-0000-000063000000}"/>
    <cellStyle name="Comma 161 2" xfId="761" xr:uid="{B7C13FB0-05A9-4177-96F4-2EE5E339E359}"/>
    <cellStyle name="Comma 162" xfId="101" xr:uid="{00000000-0005-0000-0000-000064000000}"/>
    <cellStyle name="Comma 162 2" xfId="762" xr:uid="{761A76B4-4EBE-43BA-BF6A-01B3E40D876C}"/>
    <cellStyle name="Comma 163" xfId="102" xr:uid="{00000000-0005-0000-0000-000065000000}"/>
    <cellStyle name="Comma 163 2" xfId="763" xr:uid="{E695B586-9B6F-4FE6-AE9B-1DB5893A8517}"/>
    <cellStyle name="Comma 164" xfId="103" xr:uid="{00000000-0005-0000-0000-000066000000}"/>
    <cellStyle name="Comma 164 2" xfId="764" xr:uid="{27AD98EB-3B6A-4A71-B589-255631FACF41}"/>
    <cellStyle name="Comma 165" xfId="104" xr:uid="{00000000-0005-0000-0000-000067000000}"/>
    <cellStyle name="Comma 165 2" xfId="765" xr:uid="{03A9FBD3-D2A9-419F-9043-84799A92FE64}"/>
    <cellStyle name="Comma 166" xfId="105" xr:uid="{00000000-0005-0000-0000-000068000000}"/>
    <cellStyle name="Comma 166 2" xfId="766" xr:uid="{44E1AEF6-EADA-4242-B942-30A85DEF6DB2}"/>
    <cellStyle name="Comma 167" xfId="106" xr:uid="{00000000-0005-0000-0000-000069000000}"/>
    <cellStyle name="Comma 167 2" xfId="767" xr:uid="{A4579415-B6C2-4D7E-B621-FEDEEEB5D8C0}"/>
    <cellStyle name="Comma 168" xfId="107" xr:uid="{00000000-0005-0000-0000-00006A000000}"/>
    <cellStyle name="Comma 168 2" xfId="768" xr:uid="{F837A428-DA47-4B72-B562-29FA22DFC4CB}"/>
    <cellStyle name="Comma 169" xfId="108" xr:uid="{00000000-0005-0000-0000-00006B000000}"/>
    <cellStyle name="Comma 169 2" xfId="769" xr:uid="{8AF06346-3381-48DA-A4E7-8E589ABF81B4}"/>
    <cellStyle name="Comma 17" xfId="109" xr:uid="{00000000-0005-0000-0000-00006C000000}"/>
    <cellStyle name="Comma 17 2" xfId="770" xr:uid="{2FF543C3-A605-411F-B5DA-45D819A2F023}"/>
    <cellStyle name="Comma 170" xfId="110" xr:uid="{00000000-0005-0000-0000-00006D000000}"/>
    <cellStyle name="Comma 170 2" xfId="771" xr:uid="{2F991025-0460-4F68-9F9B-356964734924}"/>
    <cellStyle name="Comma 171" xfId="111" xr:uid="{00000000-0005-0000-0000-00006E000000}"/>
    <cellStyle name="Comma 171 2" xfId="772" xr:uid="{10667E52-0E2E-47E5-ACA6-1EFBB7C6E995}"/>
    <cellStyle name="Comma 172" xfId="112" xr:uid="{00000000-0005-0000-0000-00006F000000}"/>
    <cellStyle name="Comma 172 2" xfId="773" xr:uid="{A98109B0-17B7-4AB3-8EDE-790A14532940}"/>
    <cellStyle name="Comma 173" xfId="113" xr:uid="{00000000-0005-0000-0000-000070000000}"/>
    <cellStyle name="Comma 173 2" xfId="774" xr:uid="{2C49C7DD-369A-414E-AF0F-7550DCC7C946}"/>
    <cellStyle name="Comma 174" xfId="114" xr:uid="{00000000-0005-0000-0000-000071000000}"/>
    <cellStyle name="Comma 174 2" xfId="775" xr:uid="{20353527-A2F4-4A78-9917-58BC35C174E8}"/>
    <cellStyle name="Comma 175" xfId="115" xr:uid="{00000000-0005-0000-0000-000072000000}"/>
    <cellStyle name="Comma 175 2" xfId="776" xr:uid="{5351E011-EABB-40FE-8139-59FBE3F39143}"/>
    <cellStyle name="Comma 176" xfId="116" xr:uid="{00000000-0005-0000-0000-000073000000}"/>
    <cellStyle name="Comma 176 2" xfId="777" xr:uid="{4FE0AB56-4405-4627-A0AA-FA2A9578F3A6}"/>
    <cellStyle name="Comma 177" xfId="117" xr:uid="{00000000-0005-0000-0000-000074000000}"/>
    <cellStyle name="Comma 177 2" xfId="778" xr:uid="{8A93F318-D587-44B0-B8C3-95C0FAA7956A}"/>
    <cellStyle name="Comma 178" xfId="118" xr:uid="{00000000-0005-0000-0000-000075000000}"/>
    <cellStyle name="Comma 178 2" xfId="779" xr:uid="{59B8B38F-AD09-4DE2-A2FA-F60F6F443680}"/>
    <cellStyle name="Comma 179" xfId="119" xr:uid="{00000000-0005-0000-0000-000076000000}"/>
    <cellStyle name="Comma 179 2" xfId="780" xr:uid="{E799DC83-F206-40FE-901E-43DB3FF83B15}"/>
    <cellStyle name="Comma 18" xfId="120" xr:uid="{00000000-0005-0000-0000-000077000000}"/>
    <cellStyle name="Comma 18 2" xfId="781" xr:uid="{6EDD1837-4B40-4E39-A2F4-2F647BEED519}"/>
    <cellStyle name="Comma 180" xfId="121" xr:uid="{00000000-0005-0000-0000-000078000000}"/>
    <cellStyle name="Comma 180 2" xfId="782" xr:uid="{DD0CED96-D8B5-418F-8411-9DDE7085A2DD}"/>
    <cellStyle name="Comma 181" xfId="122" xr:uid="{00000000-0005-0000-0000-000079000000}"/>
    <cellStyle name="Comma 181 2" xfId="783" xr:uid="{C76582C9-0E68-4483-97D4-70ECBE686C25}"/>
    <cellStyle name="Comma 182" xfId="123" xr:uid="{00000000-0005-0000-0000-00007A000000}"/>
    <cellStyle name="Comma 182 2" xfId="784" xr:uid="{0A5B270C-3511-41D5-AE06-D0D392A64E2E}"/>
    <cellStyle name="Comma 183" xfId="124" xr:uid="{00000000-0005-0000-0000-00007B000000}"/>
    <cellStyle name="Comma 183 2" xfId="785" xr:uid="{BB79A6A2-695A-45B1-84F8-69BDEFD2D4D7}"/>
    <cellStyle name="Comma 184" xfId="125" xr:uid="{00000000-0005-0000-0000-00007C000000}"/>
    <cellStyle name="Comma 184 2" xfId="786" xr:uid="{0FB85380-9108-401D-8A0B-A20ED3CDBAD4}"/>
    <cellStyle name="Comma 185" xfId="126" xr:uid="{00000000-0005-0000-0000-00007D000000}"/>
    <cellStyle name="Comma 185 2" xfId="787" xr:uid="{72436DBD-4348-4FDD-9F87-B132176E507B}"/>
    <cellStyle name="Comma 186" xfId="127" xr:uid="{00000000-0005-0000-0000-00007E000000}"/>
    <cellStyle name="Comma 186 2" xfId="788" xr:uid="{6AD35EED-C235-4D13-9A6F-4419F6F142B1}"/>
    <cellStyle name="Comma 187" xfId="128" xr:uid="{00000000-0005-0000-0000-00007F000000}"/>
    <cellStyle name="Comma 187 2" xfId="789" xr:uid="{F8482DB2-8DFF-4985-9C7D-A508D2E8E9A6}"/>
    <cellStyle name="Comma 188" xfId="129" xr:uid="{00000000-0005-0000-0000-000080000000}"/>
    <cellStyle name="Comma 188 2" xfId="790" xr:uid="{269D2735-FA79-444C-826B-DB298B06E081}"/>
    <cellStyle name="Comma 189" xfId="130" xr:uid="{00000000-0005-0000-0000-000081000000}"/>
    <cellStyle name="Comma 189 2" xfId="791" xr:uid="{24741B35-A612-42E4-858A-FC32BED8773F}"/>
    <cellStyle name="Comma 19" xfId="131" xr:uid="{00000000-0005-0000-0000-000082000000}"/>
    <cellStyle name="Comma 19 2" xfId="792" xr:uid="{0E1C0E4A-BB6E-4983-B15B-36391FD11F2D}"/>
    <cellStyle name="Comma 190" xfId="132" xr:uid="{00000000-0005-0000-0000-000083000000}"/>
    <cellStyle name="Comma 190 2" xfId="793" xr:uid="{C8573509-340C-4ABC-927F-83FBA859D0F7}"/>
    <cellStyle name="Comma 191" xfId="133" xr:uid="{00000000-0005-0000-0000-000084000000}"/>
    <cellStyle name="Comma 191 2" xfId="794" xr:uid="{8DDC46AC-7755-4680-A454-06EEA239564C}"/>
    <cellStyle name="Comma 192" xfId="134" xr:uid="{00000000-0005-0000-0000-000085000000}"/>
    <cellStyle name="Comma 192 2" xfId="795" xr:uid="{23D73380-5BA1-491B-9BB6-BE701FE54CE3}"/>
    <cellStyle name="Comma 193" xfId="135" xr:uid="{00000000-0005-0000-0000-000086000000}"/>
    <cellStyle name="Comma 193 2" xfId="796" xr:uid="{7B743863-2AE9-42BF-BAB6-C9476C6FD915}"/>
    <cellStyle name="Comma 194" xfId="136" xr:uid="{00000000-0005-0000-0000-000087000000}"/>
    <cellStyle name="Comma 194 2" xfId="797" xr:uid="{CFB49562-D1D0-4383-8FD3-85963EE8004E}"/>
    <cellStyle name="Comma 195" xfId="137" xr:uid="{00000000-0005-0000-0000-000088000000}"/>
    <cellStyle name="Comma 195 2" xfId="798" xr:uid="{2C1B1C8E-7034-4585-AA78-9F964E63C328}"/>
    <cellStyle name="Comma 196" xfId="138" xr:uid="{00000000-0005-0000-0000-000089000000}"/>
    <cellStyle name="Comma 196 2" xfId="799" xr:uid="{AB5E057F-F9DC-4BA3-AA35-5ABA1210AE7B}"/>
    <cellStyle name="Comma 197" xfId="139" xr:uid="{00000000-0005-0000-0000-00008A000000}"/>
    <cellStyle name="Comma 197 2" xfId="800" xr:uid="{F25CBB38-93C5-42A3-A335-5B864AE6381E}"/>
    <cellStyle name="Comma 198" xfId="140" xr:uid="{00000000-0005-0000-0000-00008B000000}"/>
    <cellStyle name="Comma 198 2" xfId="801" xr:uid="{61C5B36A-885F-4F58-8756-CBEC6845D622}"/>
    <cellStyle name="Comma 199" xfId="141" xr:uid="{00000000-0005-0000-0000-00008C000000}"/>
    <cellStyle name="Comma 199 2" xfId="802" xr:uid="{B4A6A6EE-44EF-489D-BC5A-3C6736275986}"/>
    <cellStyle name="Comma 2" xfId="142" xr:uid="{00000000-0005-0000-0000-00008D000000}"/>
    <cellStyle name="Comma 2 2" xfId="803" xr:uid="{E0542010-A67B-4D00-9410-D6EF1DBAFF10}"/>
    <cellStyle name="Comma 20" xfId="143" xr:uid="{00000000-0005-0000-0000-00008E000000}"/>
    <cellStyle name="Comma 20 2" xfId="804" xr:uid="{FC6524E3-2E1D-4A37-B20F-B5A67C6FC439}"/>
    <cellStyle name="Comma 200" xfId="144" xr:uid="{00000000-0005-0000-0000-00008F000000}"/>
    <cellStyle name="Comma 200 2" xfId="805" xr:uid="{7F20A85C-86E0-43FC-ACDF-E2D80323F8BD}"/>
    <cellStyle name="Comma 201" xfId="145" xr:uid="{00000000-0005-0000-0000-000090000000}"/>
    <cellStyle name="Comma 201 2" xfId="806" xr:uid="{8B6920CB-3041-415A-8599-1A861A9D9244}"/>
    <cellStyle name="Comma 202" xfId="146" xr:uid="{00000000-0005-0000-0000-000091000000}"/>
    <cellStyle name="Comma 202 2" xfId="807" xr:uid="{04D33869-5107-4708-92AA-B6305617F117}"/>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 2" xfId="808" xr:uid="{A95C57C8-960E-4438-AC43-1760D2E904A5}"/>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 2" xfId="809" xr:uid="{DCAE954B-4CC8-47CF-9580-151BB62572AC}"/>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3 2" xfId="810" xr:uid="{C195A451-4453-4AD5-9F5F-40599555E3CD}"/>
    <cellStyle name="Comma 24" xfId="171" xr:uid="{00000000-0005-0000-0000-0000AA000000}"/>
    <cellStyle name="Comma 24 2" xfId="811" xr:uid="{5381E5F6-B8E4-4F32-917B-A6CFA00C378A}"/>
    <cellStyle name="Comma 25" xfId="172" xr:uid="{00000000-0005-0000-0000-0000AB000000}"/>
    <cellStyle name="Comma 25 2" xfId="812" xr:uid="{B9BFC385-7B66-49B4-8C6A-0C9304839BBA}"/>
    <cellStyle name="Comma 26" xfId="173" xr:uid="{00000000-0005-0000-0000-0000AC000000}"/>
    <cellStyle name="Comma 26 2" xfId="813" xr:uid="{E02803A2-113B-43DD-A033-53386A83B499}"/>
    <cellStyle name="Comma 27" xfId="174" xr:uid="{00000000-0005-0000-0000-0000AD000000}"/>
    <cellStyle name="Comma 27 2" xfId="814" xr:uid="{34B67F58-575E-4C8B-BA2D-3B4422D51CC1}"/>
    <cellStyle name="Comma 28" xfId="175" xr:uid="{00000000-0005-0000-0000-0000AE000000}"/>
    <cellStyle name="Comma 28 2" xfId="815" xr:uid="{6F9EEE49-738D-4C99-BBE1-85757DCAD6B0}"/>
    <cellStyle name="Comma 29" xfId="176" xr:uid="{00000000-0005-0000-0000-0000AF000000}"/>
    <cellStyle name="Comma 29 2" xfId="816" xr:uid="{591B3220-D552-44A4-BF87-1284002C93D5}"/>
    <cellStyle name="Comma 3" xfId="177" xr:uid="{00000000-0005-0000-0000-0000B0000000}"/>
    <cellStyle name="Comma 3 2" xfId="817" xr:uid="{E9495058-A8F4-4AB4-9C7F-E990D44C5CA1}"/>
    <cellStyle name="Comma 30" xfId="178" xr:uid="{00000000-0005-0000-0000-0000B1000000}"/>
    <cellStyle name="Comma 30 2" xfId="818" xr:uid="{729A1283-BEC4-4FF1-851C-17659828F7FA}"/>
    <cellStyle name="Comma 31" xfId="179" xr:uid="{00000000-0005-0000-0000-0000B2000000}"/>
    <cellStyle name="Comma 31 2" xfId="819" xr:uid="{98A712F0-5C25-4757-9D72-6A1789F0928B}"/>
    <cellStyle name="Comma 32" xfId="180" xr:uid="{00000000-0005-0000-0000-0000B3000000}"/>
    <cellStyle name="Comma 32 2" xfId="820" xr:uid="{D5F449A0-04EC-49B0-970D-99A34CF6E81C}"/>
    <cellStyle name="Comma 33" xfId="181" xr:uid="{00000000-0005-0000-0000-0000B4000000}"/>
    <cellStyle name="Comma 33 2" xfId="821" xr:uid="{6328A6C5-5BB7-438D-B202-10E8F4243EF7}"/>
    <cellStyle name="Comma 34" xfId="182" xr:uid="{00000000-0005-0000-0000-0000B5000000}"/>
    <cellStyle name="Comma 34 2" xfId="822" xr:uid="{7361500B-FE43-4A53-B626-BE84F50C531A}"/>
    <cellStyle name="Comma 35" xfId="183" xr:uid="{00000000-0005-0000-0000-0000B6000000}"/>
    <cellStyle name="Comma 35 2" xfId="823" xr:uid="{0C148B62-381C-491B-9227-2E2289CBCA22}"/>
    <cellStyle name="Comma 36" xfId="184" xr:uid="{00000000-0005-0000-0000-0000B7000000}"/>
    <cellStyle name="Comma 36 2" xfId="824" xr:uid="{9F14F244-2977-4A7B-A567-7A21E46C056D}"/>
    <cellStyle name="Comma 37" xfId="185" xr:uid="{00000000-0005-0000-0000-0000B8000000}"/>
    <cellStyle name="Comma 37 2" xfId="825" xr:uid="{F4B25051-FE78-4C2D-9D1F-0EBBF8BE82A1}"/>
    <cellStyle name="Comma 38" xfId="186" xr:uid="{00000000-0005-0000-0000-0000B9000000}"/>
    <cellStyle name="Comma 38 2" xfId="826" xr:uid="{88F9B55C-0667-42BC-AE93-347139215A92}"/>
    <cellStyle name="Comma 39" xfId="187" xr:uid="{00000000-0005-0000-0000-0000BA000000}"/>
    <cellStyle name="Comma 39 2" xfId="827" xr:uid="{4F06D104-172A-4586-8446-DFF64F926818}"/>
    <cellStyle name="Comma 4" xfId="188" xr:uid="{00000000-0005-0000-0000-0000BB000000}"/>
    <cellStyle name="Comma 4 2" xfId="828" xr:uid="{BD6CFF9D-346D-4074-858F-09F5AF2FEC70}"/>
    <cellStyle name="Comma 40" xfId="189" xr:uid="{00000000-0005-0000-0000-0000BC000000}"/>
    <cellStyle name="Comma 40 2" xfId="829" xr:uid="{4C957D61-03D1-4765-9DD0-C97505614E96}"/>
    <cellStyle name="Comma 41" xfId="190" xr:uid="{00000000-0005-0000-0000-0000BD000000}"/>
    <cellStyle name="Comma 41 2" xfId="830" xr:uid="{B5C46DF8-ABA1-4AD8-9B78-C95202DC96E3}"/>
    <cellStyle name="Comma 42" xfId="191" xr:uid="{00000000-0005-0000-0000-0000BE000000}"/>
    <cellStyle name="Comma 42 2" xfId="831" xr:uid="{89C8512C-5AA5-4028-A3A0-B0E08AB3A0FE}"/>
    <cellStyle name="Comma 43" xfId="192" xr:uid="{00000000-0005-0000-0000-0000BF000000}"/>
    <cellStyle name="Comma 43 2" xfId="832" xr:uid="{6A61D25D-7630-4038-83BD-A3F461E8B07E}"/>
    <cellStyle name="Comma 44" xfId="193" xr:uid="{00000000-0005-0000-0000-0000C0000000}"/>
    <cellStyle name="Comma 44 2" xfId="833" xr:uid="{F1CBEE0D-751A-4927-8FE7-D4A452FC9972}"/>
    <cellStyle name="Comma 45" xfId="194" xr:uid="{00000000-0005-0000-0000-0000C1000000}"/>
    <cellStyle name="Comma 45 2" xfId="834" xr:uid="{BFB78D20-F9D0-42D1-ACE3-48CB93F4F066}"/>
    <cellStyle name="Comma 46" xfId="195" xr:uid="{00000000-0005-0000-0000-0000C2000000}"/>
    <cellStyle name="Comma 46 2" xfId="835" xr:uid="{22473543-4DCD-4F73-A2CD-7261D6FB2DB5}"/>
    <cellStyle name="Comma 47" xfId="196" xr:uid="{00000000-0005-0000-0000-0000C3000000}"/>
    <cellStyle name="Comma 47 2" xfId="836" xr:uid="{58E354B2-1030-45CD-B1C3-70351450D263}"/>
    <cellStyle name="Comma 48" xfId="197" xr:uid="{00000000-0005-0000-0000-0000C4000000}"/>
    <cellStyle name="Comma 48 2" xfId="837" xr:uid="{7EBFB128-E440-482F-A98C-8D90D2D789CB}"/>
    <cellStyle name="Comma 49" xfId="198" xr:uid="{00000000-0005-0000-0000-0000C5000000}"/>
    <cellStyle name="Comma 49 2" xfId="838" xr:uid="{8059F6EF-5E51-4D2B-A192-091FF6A1DB5C}"/>
    <cellStyle name="Comma 5" xfId="199" xr:uid="{00000000-0005-0000-0000-0000C6000000}"/>
    <cellStyle name="Comma 5 2" xfId="839" xr:uid="{AD5B3998-B5ED-47CE-B36A-1619284C6C3A}"/>
    <cellStyle name="Comma 50" xfId="200" xr:uid="{00000000-0005-0000-0000-0000C7000000}"/>
    <cellStyle name="Comma 50 2" xfId="840" xr:uid="{5E565DDF-CAFD-4451-90F5-623912044C66}"/>
    <cellStyle name="Comma 51" xfId="201" xr:uid="{00000000-0005-0000-0000-0000C8000000}"/>
    <cellStyle name="Comma 51 2" xfId="841" xr:uid="{C8DFB983-400C-4CC3-95DB-9A4DFA534B2F}"/>
    <cellStyle name="Comma 52" xfId="202" xr:uid="{00000000-0005-0000-0000-0000C9000000}"/>
    <cellStyle name="Comma 52 2" xfId="842" xr:uid="{856A800F-74BB-4463-81BB-2320FE3C6A4D}"/>
    <cellStyle name="Comma 53" xfId="203" xr:uid="{00000000-0005-0000-0000-0000CA000000}"/>
    <cellStyle name="Comma 53 2" xfId="843" xr:uid="{3B7A55ED-803B-4581-9533-51ED5B806408}"/>
    <cellStyle name="Comma 54" xfId="204" xr:uid="{00000000-0005-0000-0000-0000CB000000}"/>
    <cellStyle name="Comma 54 2" xfId="844" xr:uid="{F7D891D8-2DFA-4631-9AB4-13DE1F74FF96}"/>
    <cellStyle name="Comma 55" xfId="205" xr:uid="{00000000-0005-0000-0000-0000CC000000}"/>
    <cellStyle name="Comma 55 2" xfId="845" xr:uid="{DF568B11-BDA2-4AEF-B207-5AB5F57EA401}"/>
    <cellStyle name="Comma 56" xfId="206" xr:uid="{00000000-0005-0000-0000-0000CD000000}"/>
    <cellStyle name="Comma 56 2" xfId="846" xr:uid="{06ABF689-6303-4693-B8D7-DD9A6EF79745}"/>
    <cellStyle name="Comma 57" xfId="207" xr:uid="{00000000-0005-0000-0000-0000CE000000}"/>
    <cellStyle name="Comma 57 2" xfId="847" xr:uid="{7BFEE335-77B3-42FE-86AD-DB4F6D16F7F0}"/>
    <cellStyle name="Comma 58" xfId="208" xr:uid="{00000000-0005-0000-0000-0000CF000000}"/>
    <cellStyle name="Comma 58 2" xfId="848" xr:uid="{0F8D0023-21F1-4C0D-ADD1-395821B934A1}"/>
    <cellStyle name="Comma 59" xfId="209" xr:uid="{00000000-0005-0000-0000-0000D0000000}"/>
    <cellStyle name="Comma 59 2" xfId="849" xr:uid="{31EAE017-AFF8-4F20-9415-3246EB467DB5}"/>
    <cellStyle name="Comma 6" xfId="210" xr:uid="{00000000-0005-0000-0000-0000D1000000}"/>
    <cellStyle name="Comma 6 2" xfId="850" xr:uid="{0031E8E8-D791-4114-9979-649015DDC6B3}"/>
    <cellStyle name="Comma 60" xfId="211" xr:uid="{00000000-0005-0000-0000-0000D2000000}"/>
    <cellStyle name="Comma 60 2" xfId="851" xr:uid="{40A54280-9BC3-4903-B4D2-7DFAF4B6F940}"/>
    <cellStyle name="Comma 61" xfId="212" xr:uid="{00000000-0005-0000-0000-0000D3000000}"/>
    <cellStyle name="Comma 61 2" xfId="852" xr:uid="{548A673C-8F9B-436E-9870-E6F63E4D6443}"/>
    <cellStyle name="Comma 62" xfId="213" xr:uid="{00000000-0005-0000-0000-0000D4000000}"/>
    <cellStyle name="Comma 62 2" xfId="853" xr:uid="{F062802F-55D7-4C0D-826F-77DD7F6A4419}"/>
    <cellStyle name="Comma 63" xfId="214" xr:uid="{00000000-0005-0000-0000-0000D5000000}"/>
    <cellStyle name="Comma 63 2" xfId="854" xr:uid="{2A63D8B8-6D69-4174-A243-EAE5B8A67C98}"/>
    <cellStyle name="Comma 64" xfId="215" xr:uid="{00000000-0005-0000-0000-0000D6000000}"/>
    <cellStyle name="Comma 64 2" xfId="855" xr:uid="{A440CB81-D9E2-4037-9A79-249A8116BAEA}"/>
    <cellStyle name="Comma 65" xfId="216" xr:uid="{00000000-0005-0000-0000-0000D7000000}"/>
    <cellStyle name="Comma 65 2" xfId="856" xr:uid="{5F252762-A063-45D2-BF53-84DD8E0A5880}"/>
    <cellStyle name="Comma 66" xfId="217" xr:uid="{00000000-0005-0000-0000-0000D8000000}"/>
    <cellStyle name="Comma 66 2" xfId="857" xr:uid="{9EE8C73D-4BC6-4740-A03A-0F3AC1F96DD5}"/>
    <cellStyle name="Comma 67" xfId="218" xr:uid="{00000000-0005-0000-0000-0000D9000000}"/>
    <cellStyle name="Comma 67 2" xfId="858" xr:uid="{229238F7-499F-41D8-9AFF-FE1E40FF7523}"/>
    <cellStyle name="Comma 68" xfId="219" xr:uid="{00000000-0005-0000-0000-0000DA000000}"/>
    <cellStyle name="Comma 68 2" xfId="859" xr:uid="{FFCBD29A-6FC4-491D-AFBC-4AF02042F3C9}"/>
    <cellStyle name="Comma 69" xfId="220" xr:uid="{00000000-0005-0000-0000-0000DB000000}"/>
    <cellStyle name="Comma 69 2" xfId="860" xr:uid="{33323DE4-97A2-4F9E-8471-6FC1E51C7013}"/>
    <cellStyle name="Comma 7" xfId="221" xr:uid="{00000000-0005-0000-0000-0000DC000000}"/>
    <cellStyle name="Comma 7 2" xfId="861" xr:uid="{F597B9E1-DADB-4CB6-B587-02B4DA3A34F1}"/>
    <cellStyle name="Comma 70" xfId="222" xr:uid="{00000000-0005-0000-0000-0000DD000000}"/>
    <cellStyle name="Comma 70 2" xfId="862" xr:uid="{8326108C-D24C-407E-80F9-A10B553CC048}"/>
    <cellStyle name="Comma 71" xfId="223" xr:uid="{00000000-0005-0000-0000-0000DE000000}"/>
    <cellStyle name="Comma 71 2" xfId="863" xr:uid="{483BC858-6C19-4CE6-B2AB-756519BD0595}"/>
    <cellStyle name="Comma 72" xfId="224" xr:uid="{00000000-0005-0000-0000-0000DF000000}"/>
    <cellStyle name="Comma 72 2" xfId="864" xr:uid="{57F10837-8326-4B5A-82A0-2549D70A3848}"/>
    <cellStyle name="Comma 73" xfId="225" xr:uid="{00000000-0005-0000-0000-0000E0000000}"/>
    <cellStyle name="Comma 73 2" xfId="865" xr:uid="{38A7772A-1BA8-414D-829B-9E15DA4A4D68}"/>
    <cellStyle name="Comma 74" xfId="226" xr:uid="{00000000-0005-0000-0000-0000E1000000}"/>
    <cellStyle name="Comma 74 2" xfId="866" xr:uid="{0F207290-10BC-4AD4-9A64-6C41FA4E904B}"/>
    <cellStyle name="Comma 75" xfId="227" xr:uid="{00000000-0005-0000-0000-0000E2000000}"/>
    <cellStyle name="Comma 75 2" xfId="867" xr:uid="{0A92F2EC-23BE-4522-B2E7-BAE82E562C1A}"/>
    <cellStyle name="Comma 76" xfId="228" xr:uid="{00000000-0005-0000-0000-0000E3000000}"/>
    <cellStyle name="Comma 76 2" xfId="868" xr:uid="{C16E4179-BF98-4FDA-A8A8-028CDD4C6E0C}"/>
    <cellStyle name="Comma 77" xfId="229" xr:uid="{00000000-0005-0000-0000-0000E4000000}"/>
    <cellStyle name="Comma 77 2" xfId="869" xr:uid="{4085D219-15D5-4D96-A9D2-7C06736177D0}"/>
    <cellStyle name="Comma 78" xfId="230" xr:uid="{00000000-0005-0000-0000-0000E5000000}"/>
    <cellStyle name="Comma 78 2" xfId="870" xr:uid="{4263DEE4-935A-4B0C-987F-50D300D445C5}"/>
    <cellStyle name="Comma 79" xfId="231" xr:uid="{00000000-0005-0000-0000-0000E6000000}"/>
    <cellStyle name="Comma 79 2" xfId="871" xr:uid="{DF3F2471-966D-47A8-AD05-B94E29EBDBE7}"/>
    <cellStyle name="Comma 8" xfId="232" xr:uid="{00000000-0005-0000-0000-0000E7000000}"/>
    <cellStyle name="Comma 8 2" xfId="872" xr:uid="{FF4E6E3F-6788-4BED-8982-F26FAE7D6095}"/>
    <cellStyle name="Comma 80" xfId="233" xr:uid="{00000000-0005-0000-0000-0000E8000000}"/>
    <cellStyle name="Comma 80 2" xfId="873" xr:uid="{B723E701-6A44-4E1B-9C5B-F3C4BDAB253A}"/>
    <cellStyle name="Comma 81" xfId="234" xr:uid="{00000000-0005-0000-0000-0000E9000000}"/>
    <cellStyle name="Comma 81 2" xfId="874" xr:uid="{19D2F93E-99C5-415D-A36E-A23ECD52F7D5}"/>
    <cellStyle name="Comma 82" xfId="235" xr:uid="{00000000-0005-0000-0000-0000EA000000}"/>
    <cellStyle name="Comma 82 2" xfId="875" xr:uid="{E91DFD88-0FCD-439D-BB16-AF5BD26E4A86}"/>
    <cellStyle name="Comma 83" xfId="236" xr:uid="{00000000-0005-0000-0000-0000EB000000}"/>
    <cellStyle name="Comma 83 2" xfId="876" xr:uid="{EA740BC1-8D3B-4871-9BD4-D2A9A9481D63}"/>
    <cellStyle name="Comma 84" xfId="237" xr:uid="{00000000-0005-0000-0000-0000EC000000}"/>
    <cellStyle name="Comma 84 2" xfId="877" xr:uid="{10F97B63-C84D-4C65-BAF6-CAE93CFAD6CB}"/>
    <cellStyle name="Comma 85" xfId="238" xr:uid="{00000000-0005-0000-0000-0000ED000000}"/>
    <cellStyle name="Comma 85 2" xfId="878" xr:uid="{96B10808-0705-468E-BC2C-5C1CAC8698D6}"/>
    <cellStyle name="Comma 86" xfId="239" xr:uid="{00000000-0005-0000-0000-0000EE000000}"/>
    <cellStyle name="Comma 86 2" xfId="879" xr:uid="{A721F6BF-0F6C-4229-8E6E-14B62EDF4C1E}"/>
    <cellStyle name="Comma 87" xfId="240" xr:uid="{00000000-0005-0000-0000-0000EF000000}"/>
    <cellStyle name="Comma 87 2" xfId="880" xr:uid="{CF622ACB-024F-4250-8A0B-7B0AA8BEE132}"/>
    <cellStyle name="Comma 88" xfId="241" xr:uid="{00000000-0005-0000-0000-0000F0000000}"/>
    <cellStyle name="Comma 88 2" xfId="881" xr:uid="{5006D01F-DEF2-402B-8368-F2E9F26AD53D}"/>
    <cellStyle name="Comma 89" xfId="242" xr:uid="{00000000-0005-0000-0000-0000F1000000}"/>
    <cellStyle name="Comma 89 2" xfId="882" xr:uid="{F7E01963-0463-4EE8-B038-977531B6E564}"/>
    <cellStyle name="Comma 9" xfId="243" xr:uid="{00000000-0005-0000-0000-0000F2000000}"/>
    <cellStyle name="Comma 9 2" xfId="883" xr:uid="{1C99B5AD-A9BC-467D-AFEC-24E161AD3E31}"/>
    <cellStyle name="Comma 90" xfId="244" xr:uid="{00000000-0005-0000-0000-0000F3000000}"/>
    <cellStyle name="Comma 90 2" xfId="884" xr:uid="{AB46FA0D-0B05-42CB-9988-74AB230F1E2B}"/>
    <cellStyle name="Comma 91" xfId="245" xr:uid="{00000000-0005-0000-0000-0000F4000000}"/>
    <cellStyle name="Comma 91 2" xfId="885" xr:uid="{AAB00C47-5234-4372-8845-1566D7F38AE4}"/>
    <cellStyle name="Comma 92" xfId="246" xr:uid="{00000000-0005-0000-0000-0000F5000000}"/>
    <cellStyle name="Comma 92 2" xfId="886" xr:uid="{4BCECA33-D797-44AE-BA4D-9E106925DEFA}"/>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4 2" xfId="887" xr:uid="{40C4127E-1B1B-44E6-80A6-F382120E6044}"/>
    <cellStyle name="Currency [0] 5" xfId="257" xr:uid="{00000000-0005-0000-0000-000000010000}"/>
    <cellStyle name="Currency 10" xfId="258" xr:uid="{00000000-0005-0000-0000-000001010000}"/>
    <cellStyle name="Currency 100" xfId="259" xr:uid="{00000000-0005-0000-0000-000002010000}"/>
    <cellStyle name="Currency 100 2" xfId="888" xr:uid="{A5FE68A3-C9C0-48F5-BAE1-245977D151CD}"/>
    <cellStyle name="Currency 101" xfId="260" xr:uid="{00000000-0005-0000-0000-000003010000}"/>
    <cellStyle name="Currency 101 2" xfId="889" xr:uid="{D49B2245-6957-4D3F-AE52-DC67AD9FF4F4}"/>
    <cellStyle name="Currency 102" xfId="261" xr:uid="{00000000-0005-0000-0000-000004010000}"/>
    <cellStyle name="Currency 102 2" xfId="890" xr:uid="{73F0AD1A-A8A7-47E3-87C9-18750AD35311}"/>
    <cellStyle name="Currency 103" xfId="262" xr:uid="{00000000-0005-0000-0000-000005010000}"/>
    <cellStyle name="Currency 103 2" xfId="891" xr:uid="{7857A57A-0754-4E23-AE12-2E243DB250DD}"/>
    <cellStyle name="Currency 104" xfId="263" xr:uid="{00000000-0005-0000-0000-000006010000}"/>
    <cellStyle name="Currency 104 2" xfId="892" xr:uid="{385B6B0F-CBE5-4B31-AD07-61FE72C1D98B}"/>
    <cellStyle name="Currency 105" xfId="264" xr:uid="{00000000-0005-0000-0000-000007010000}"/>
    <cellStyle name="Currency 105 2" xfId="893" xr:uid="{B8C5EE64-AD90-4938-9C19-AD6931E2C458}"/>
    <cellStyle name="Currency 106" xfId="265" xr:uid="{00000000-0005-0000-0000-000008010000}"/>
    <cellStyle name="Currency 106 2" xfId="894" xr:uid="{69F2A9C1-961B-4FB0-ACB8-9CC2FF7222A7}"/>
    <cellStyle name="Currency 107" xfId="266" xr:uid="{00000000-0005-0000-0000-000009010000}"/>
    <cellStyle name="Currency 107 2" xfId="895" xr:uid="{727A4460-C7DD-4ADC-A001-BAABED807B3C}"/>
    <cellStyle name="Currency 108" xfId="267" xr:uid="{00000000-0005-0000-0000-00000A010000}"/>
    <cellStyle name="Currency 108 2" xfId="896" xr:uid="{39B07F1C-DEF6-4045-A860-66ADDD20AF5B}"/>
    <cellStyle name="Currency 109" xfId="268" xr:uid="{00000000-0005-0000-0000-00000B010000}"/>
    <cellStyle name="Currency 109 2" xfId="897" xr:uid="{705D33A9-2097-45B1-B56B-B9D0FD8651DE}"/>
    <cellStyle name="Currency 11" xfId="269" xr:uid="{00000000-0005-0000-0000-00000C010000}"/>
    <cellStyle name="Currency 110" xfId="270" xr:uid="{00000000-0005-0000-0000-00000D010000}"/>
    <cellStyle name="Currency 110 2" xfId="898" xr:uid="{8EF20321-0193-4E44-AB88-5BDF07893D2F}"/>
    <cellStyle name="Currency 111" xfId="271" xr:uid="{00000000-0005-0000-0000-00000E010000}"/>
    <cellStyle name="Currency 111 2" xfId="899" xr:uid="{A5BD3235-AAB6-4BC5-A570-14C09DD1B9BA}"/>
    <cellStyle name="Currency 112" xfId="272" xr:uid="{00000000-0005-0000-0000-00000F010000}"/>
    <cellStyle name="Currency 112 2" xfId="900" xr:uid="{4FDCFA4D-F8C0-490E-A4E5-4C65FBA75BA3}"/>
    <cellStyle name="Currency 113" xfId="273" xr:uid="{00000000-0005-0000-0000-000010010000}"/>
    <cellStyle name="Currency 113 2" xfId="901" xr:uid="{E7B0E02C-D1F3-4DBD-AE9A-8235ACF781A8}"/>
    <cellStyle name="Currency 114" xfId="274" xr:uid="{00000000-0005-0000-0000-000011010000}"/>
    <cellStyle name="Currency 114 2" xfId="902" xr:uid="{FD2B726C-364E-4898-B81A-04212970F524}"/>
    <cellStyle name="Currency 115" xfId="275" xr:uid="{00000000-0005-0000-0000-000012010000}"/>
    <cellStyle name="Currency 115 2" xfId="903" xr:uid="{2E4E3005-238C-4DF9-9300-70D23D2AE6C1}"/>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39 2" xfId="904" xr:uid="{E8730506-4662-4F08-8BCC-2EA130F68F4B}"/>
    <cellStyle name="Currency 14" xfId="302" xr:uid="{00000000-0005-0000-0000-00002D010000}"/>
    <cellStyle name="Currency 140" xfId="303" xr:uid="{00000000-0005-0000-0000-00002E010000}"/>
    <cellStyle name="Currency 140 2" xfId="905" xr:uid="{7D8E590E-537F-4D56-9308-3AAA9FA91524}"/>
    <cellStyle name="Currency 141" xfId="304" xr:uid="{00000000-0005-0000-0000-00002F010000}"/>
    <cellStyle name="Currency 141 2" xfId="906" xr:uid="{72D47433-0388-4989-841D-4152C5A9452B}"/>
    <cellStyle name="Currency 142" xfId="305" xr:uid="{00000000-0005-0000-0000-000030010000}"/>
    <cellStyle name="Currency 142 2" xfId="907" xr:uid="{DCBDE770-523D-4399-B234-6D3018031023}"/>
    <cellStyle name="Currency 143" xfId="306" xr:uid="{00000000-0005-0000-0000-000031010000}"/>
    <cellStyle name="Currency 143 2" xfId="908" xr:uid="{78007264-B5AE-4E3F-8649-4003FC564607}"/>
    <cellStyle name="Currency 144" xfId="307" xr:uid="{00000000-0005-0000-0000-000032010000}"/>
    <cellStyle name="Currency 144 2" xfId="909" xr:uid="{5C5DDBB3-B6E7-4046-8550-4220C8B7203F}"/>
    <cellStyle name="Currency 145" xfId="308" xr:uid="{00000000-0005-0000-0000-000033010000}"/>
    <cellStyle name="Currency 145 2" xfId="910" xr:uid="{2ABE5DEF-678B-4890-8939-F75B29C1878B}"/>
    <cellStyle name="Currency 146" xfId="309" xr:uid="{00000000-0005-0000-0000-000034010000}"/>
    <cellStyle name="Currency 146 2" xfId="911" xr:uid="{AA3F35CD-3D2E-4ABB-89EE-97FF201887A2}"/>
    <cellStyle name="Currency 147" xfId="310" xr:uid="{00000000-0005-0000-0000-000035010000}"/>
    <cellStyle name="Currency 147 2" xfId="912" xr:uid="{081B4C7F-6793-4F48-8BA7-81B62DFE7780}"/>
    <cellStyle name="Currency 148" xfId="311" xr:uid="{00000000-0005-0000-0000-000036010000}"/>
    <cellStyle name="Currency 148 2" xfId="913" xr:uid="{12E8F6C7-F41C-42CC-90D0-FAF56B0358A5}"/>
    <cellStyle name="Currency 149" xfId="312" xr:uid="{00000000-0005-0000-0000-000037010000}"/>
    <cellStyle name="Currency 149 2" xfId="914" xr:uid="{BECCB20B-8E96-4B3E-A98C-F9640830F800}"/>
    <cellStyle name="Currency 15" xfId="313" xr:uid="{00000000-0005-0000-0000-000038010000}"/>
    <cellStyle name="Currency 150" xfId="314" xr:uid="{00000000-0005-0000-0000-000039010000}"/>
    <cellStyle name="Currency 150 2" xfId="915" xr:uid="{242961FA-FC0D-4CAF-8271-BA40C1C3E00E}"/>
    <cellStyle name="Currency 151" xfId="315" xr:uid="{00000000-0005-0000-0000-00003A010000}"/>
    <cellStyle name="Currency 151 2" xfId="916" xr:uid="{62D3830D-4A66-462A-83E6-6BFAEF217E92}"/>
    <cellStyle name="Currency 152" xfId="316" xr:uid="{00000000-0005-0000-0000-00003B010000}"/>
    <cellStyle name="Currency 152 2" xfId="917" xr:uid="{61D27D54-CF49-4C13-9340-6AE7E1495CC1}"/>
    <cellStyle name="Currency 153" xfId="317" xr:uid="{00000000-0005-0000-0000-00003C010000}"/>
    <cellStyle name="Currency 153 2" xfId="918" xr:uid="{10965E74-6A6F-47A1-91CA-3580388BFD38}"/>
    <cellStyle name="Currency 154" xfId="318" xr:uid="{00000000-0005-0000-0000-00003D010000}"/>
    <cellStyle name="Currency 154 2" xfId="919" xr:uid="{A158EC74-B3C6-4BC3-8AC4-D3FB863AB4D0}"/>
    <cellStyle name="Currency 155" xfId="319" xr:uid="{00000000-0005-0000-0000-00003E010000}"/>
    <cellStyle name="Currency 155 2" xfId="920" xr:uid="{BC0CFDBD-A785-42F5-B811-CBE41C43BEE7}"/>
    <cellStyle name="Currency 156" xfId="320" xr:uid="{00000000-0005-0000-0000-00003F010000}"/>
    <cellStyle name="Currency 156 2" xfId="921" xr:uid="{A3D66C49-D906-4EEC-82C5-8FF271DCB85A}"/>
    <cellStyle name="Currency 157" xfId="321" xr:uid="{00000000-0005-0000-0000-000040010000}"/>
    <cellStyle name="Currency 157 2" xfId="922" xr:uid="{B9838533-2F80-47F6-AC32-2ABD5781A97A}"/>
    <cellStyle name="Currency 158" xfId="322" xr:uid="{00000000-0005-0000-0000-000041010000}"/>
    <cellStyle name="Currency 158 2" xfId="923" xr:uid="{CD3CD848-2941-4650-83C8-91DB9F57C63F}"/>
    <cellStyle name="Currency 159" xfId="323" xr:uid="{00000000-0005-0000-0000-000042010000}"/>
    <cellStyle name="Currency 159 2" xfId="924" xr:uid="{DBE396CB-6A3F-4911-A715-FB7517DDF368}"/>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3 2" xfId="925" xr:uid="{2DD4BE3C-8D9A-45E3-9C74-67BE440BB7CD}"/>
    <cellStyle name="Currency 204" xfId="374" xr:uid="{00000000-0005-0000-0000-000075010000}"/>
    <cellStyle name="Currency 204 2" xfId="926" xr:uid="{2B59C259-37B2-4D0A-BDC6-03CEC8BD8AED}"/>
    <cellStyle name="Currency 205" xfId="375" xr:uid="{00000000-0005-0000-0000-000076010000}"/>
    <cellStyle name="Currency 205 2" xfId="927" xr:uid="{8765C0B0-976C-4DF0-9457-9C1F91561719}"/>
    <cellStyle name="Currency 206" xfId="376" xr:uid="{00000000-0005-0000-0000-000077010000}"/>
    <cellStyle name="Currency 206 2" xfId="928" xr:uid="{E3C0E9FE-D885-48DE-9070-F57EFAA59A48}"/>
    <cellStyle name="Currency 207" xfId="377" xr:uid="{00000000-0005-0000-0000-000078010000}"/>
    <cellStyle name="Currency 207 2" xfId="929" xr:uid="{3FC763A8-2C4C-4B7D-972D-C1FA9F435AA7}"/>
    <cellStyle name="Currency 208" xfId="378" xr:uid="{00000000-0005-0000-0000-000079010000}"/>
    <cellStyle name="Currency 208 2" xfId="930" xr:uid="{67B951B3-AE7B-49C1-8F52-E8A0A2397B7F}"/>
    <cellStyle name="Currency 209" xfId="379" xr:uid="{00000000-0005-0000-0000-00007A010000}"/>
    <cellStyle name="Currency 209 2" xfId="931" xr:uid="{DA413FF4-FF3E-4E63-B454-96B1EE6B5072}"/>
    <cellStyle name="Currency 21" xfId="380" xr:uid="{00000000-0005-0000-0000-00007B010000}"/>
    <cellStyle name="Currency 210" xfId="381" xr:uid="{00000000-0005-0000-0000-00007C010000}"/>
    <cellStyle name="Currency 210 2" xfId="932" xr:uid="{BC916F1C-C1E7-42CC-9F50-B108F3D0F1D8}"/>
    <cellStyle name="Currency 211" xfId="382" xr:uid="{00000000-0005-0000-0000-00007D010000}"/>
    <cellStyle name="Currency 211 2" xfId="933" xr:uid="{E5490FA9-8C3E-4E92-B8F6-0D62000553AC}"/>
    <cellStyle name="Currency 212" xfId="383" xr:uid="{00000000-0005-0000-0000-00007E010000}"/>
    <cellStyle name="Currency 212 2" xfId="934" xr:uid="{C98527B5-CAB4-43EF-8458-D43E4BB2D829}"/>
    <cellStyle name="Currency 213" xfId="384" xr:uid="{00000000-0005-0000-0000-00007F010000}"/>
    <cellStyle name="Currency 213 2" xfId="935" xr:uid="{47EA7A89-0553-4F50-846E-647C5876006C}"/>
    <cellStyle name="Currency 214" xfId="385" xr:uid="{00000000-0005-0000-0000-000080010000}"/>
    <cellStyle name="Currency 214 2" xfId="936" xr:uid="{C51FCB2C-72CA-4903-A16D-9FA5419FF415}"/>
    <cellStyle name="Currency 215" xfId="386" xr:uid="{00000000-0005-0000-0000-000081010000}"/>
    <cellStyle name="Currency 215 2" xfId="937" xr:uid="{6987E097-52A8-45A5-9739-78ED905F9EAD}"/>
    <cellStyle name="Currency 216" xfId="387" xr:uid="{00000000-0005-0000-0000-000082010000}"/>
    <cellStyle name="Currency 216 2" xfId="938" xr:uid="{BF44215D-0248-4C0F-8ABF-07B3E85BEB9A}"/>
    <cellStyle name="Currency 217" xfId="388" xr:uid="{00000000-0005-0000-0000-000083010000}"/>
    <cellStyle name="Currency 217 2" xfId="939" xr:uid="{79DCF34C-5284-40C0-870E-D0DB5E45D7F3}"/>
    <cellStyle name="Currency 218" xfId="389" xr:uid="{00000000-0005-0000-0000-000084010000}"/>
    <cellStyle name="Currency 218 2" xfId="940" xr:uid="{1ECDC5E3-C2E2-489B-AF61-0D66A8811057}"/>
    <cellStyle name="Currency 219" xfId="390" xr:uid="{00000000-0005-0000-0000-000085010000}"/>
    <cellStyle name="Currency 219 2" xfId="941" xr:uid="{CB8D46D0-7722-429A-83AE-E41FF16EB356}"/>
    <cellStyle name="Currency 22" xfId="391" xr:uid="{00000000-0005-0000-0000-000086010000}"/>
    <cellStyle name="Currency 220" xfId="392" xr:uid="{00000000-0005-0000-0000-000087010000}"/>
    <cellStyle name="Currency 220 2" xfId="942" xr:uid="{CD813ACF-5E60-43DD-90EB-11DFE1248E71}"/>
    <cellStyle name="Currency 221" xfId="393" xr:uid="{00000000-0005-0000-0000-000088010000}"/>
    <cellStyle name="Currency 221 2" xfId="943" xr:uid="{C0365707-7176-41F6-807E-0612AF8046B6}"/>
    <cellStyle name="Currency 222" xfId="394" xr:uid="{00000000-0005-0000-0000-000089010000}"/>
    <cellStyle name="Currency 222 2" xfId="944" xr:uid="{2C34C722-EC67-496D-96F7-C813CF5E30F6}"/>
    <cellStyle name="Currency 223" xfId="395" xr:uid="{00000000-0005-0000-0000-00008A010000}"/>
    <cellStyle name="Currency 223 2" xfId="945" xr:uid="{251049C8-FD38-43FD-93C8-02B947EC2C45}"/>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3 2" xfId="946" xr:uid="{0838553C-7832-46E4-BA0F-AFA216B8A062}"/>
    <cellStyle name="Currency 94" xfId="474" xr:uid="{00000000-0005-0000-0000-0000D9010000}"/>
    <cellStyle name="Currency 94 2" xfId="947" xr:uid="{E398A534-EB66-40A6-98EA-CF020BD9B982}"/>
    <cellStyle name="Currency 95" xfId="475" xr:uid="{00000000-0005-0000-0000-0000DA010000}"/>
    <cellStyle name="Currency 95 2" xfId="948" xr:uid="{AED515EE-1E0E-45C1-917E-C2CB1E6BCC69}"/>
    <cellStyle name="Currency 96" xfId="476" xr:uid="{00000000-0005-0000-0000-0000DB010000}"/>
    <cellStyle name="Currency 96 2" xfId="949" xr:uid="{F6AC7613-EBD0-44E7-8BD9-0A22970FDF62}"/>
    <cellStyle name="Currency 97" xfId="477" xr:uid="{00000000-0005-0000-0000-0000DC010000}"/>
    <cellStyle name="Currency 97 2" xfId="950" xr:uid="{10D21DE0-81C4-489D-83FD-0835E6BB6ABD}"/>
    <cellStyle name="Currency 98" xfId="478" xr:uid="{00000000-0005-0000-0000-0000DD010000}"/>
    <cellStyle name="Currency 98 2" xfId="951" xr:uid="{142EC718-4F82-4C4A-A7B1-D9D75A4F5DC1}"/>
    <cellStyle name="Currency 99" xfId="479" xr:uid="{00000000-0005-0000-0000-0000DE010000}"/>
    <cellStyle name="Currency 99 2" xfId="952" xr:uid="{80D09721-8E2F-4779-A509-8836427B81D6}"/>
    <cellStyle name="Excel Built-in Normal" xfId="480" xr:uid="{00000000-0005-0000-0000-0000DF010000}"/>
    <cellStyle name="Excel Built-in Normal 2" xfId="1008" xr:uid="{4CB780E9-C5F6-49AB-B978-D18ACDA03E31}"/>
    <cellStyle name="Explanatory Text 2" xfId="481" xr:uid="{00000000-0005-0000-0000-0000E0010000}"/>
    <cellStyle name="Explanatory Text 2 2" xfId="622" xr:uid="{6E631128-80FD-4BFC-898F-473E67697E75}"/>
    <cellStyle name="Good 2" xfId="482" xr:uid="{00000000-0005-0000-0000-0000E1010000}"/>
    <cellStyle name="Good 2 2" xfId="623" xr:uid="{6FE0DEB2-F59F-453E-A93E-ECB0B9E28706}"/>
    <cellStyle name="Good 2 2 2" xfId="986" xr:uid="{62F97ABE-4A8D-477B-85E0-DE55714956B2}"/>
    <cellStyle name="Heading 1 2" xfId="483" xr:uid="{00000000-0005-0000-0000-0000E2010000}"/>
    <cellStyle name="Heading 1 2 2" xfId="624" xr:uid="{CEC67434-44E0-4452-A564-51DB053A4BB7}"/>
    <cellStyle name="Heading 2 2" xfId="484" xr:uid="{00000000-0005-0000-0000-0000E3010000}"/>
    <cellStyle name="Heading 2 2 2" xfId="625" xr:uid="{33262857-7E72-4592-88B8-10984E412545}"/>
    <cellStyle name="Heading 2 2 2 2" xfId="987" xr:uid="{03CA74FB-8A15-4E97-BE92-DD8A622ED52D}"/>
    <cellStyle name="Heading 3 2" xfId="485" xr:uid="{00000000-0005-0000-0000-0000E4010000}"/>
    <cellStyle name="Heading 3 2 2" xfId="626" xr:uid="{579BD18E-BDBE-497F-A0B6-402FB5BF2E54}"/>
    <cellStyle name="Heading 4 2" xfId="486" xr:uid="{00000000-0005-0000-0000-0000E5010000}"/>
    <cellStyle name="Heading 4 2 2" xfId="627" xr:uid="{1C3317BE-8891-4CBD-B057-4EA45DB686FB}"/>
    <cellStyle name="Hyperlink 2" xfId="488" xr:uid="{00000000-0005-0000-0000-0000E7010000}"/>
    <cellStyle name="Hyperlink 2 2" xfId="629" xr:uid="{1C92F345-F31A-45F4-AEC5-709AF0948F97}"/>
    <cellStyle name="Hyperlink 2 3" xfId="954" xr:uid="{91156943-9BD8-4A32-A7D6-F572A8BAF271}"/>
    <cellStyle name="Hyperlink 2 4" xfId="729" xr:uid="{C7338E4F-B3B2-449B-A343-9CE7EE25976F}"/>
    <cellStyle name="Hyperlink 3" xfId="489" xr:uid="{00000000-0005-0000-0000-0000E8010000}"/>
    <cellStyle name="Hyperlink 3 2" xfId="631" xr:uid="{3C0CE069-A8FF-401C-9359-C0AD87AE8B2A}"/>
    <cellStyle name="Hyperlink 3 3" xfId="630" xr:uid="{ACA249B9-C3BA-44C9-AC1A-3E7EF13C9371}"/>
    <cellStyle name="Hyperlink 4" xfId="490" xr:uid="{00000000-0005-0000-0000-0000E9010000}"/>
    <cellStyle name="Hyperlink 4 2" xfId="632" xr:uid="{548C706A-2E76-486C-B2DB-524E93B672E2}"/>
    <cellStyle name="Hyperlink 5" xfId="491" xr:uid="{00000000-0005-0000-0000-0000EA010000}"/>
    <cellStyle name="Hyperlink 5 2" xfId="492" xr:uid="{00000000-0005-0000-0000-0000EB010000}"/>
    <cellStyle name="Hyperlink 5 2 2" xfId="635" xr:uid="{3FE6C0D4-129C-4F78-AC64-94F30C99D327}"/>
    <cellStyle name="Hyperlink 5 2 3" xfId="634" xr:uid="{B6E366B3-4AAD-48EB-998A-1535E1B908AA}"/>
    <cellStyle name="Hyperlink 5 3" xfId="633" xr:uid="{E566A021-1C70-458A-8F2D-57D050218EF1}"/>
    <cellStyle name="Hyperlink 6" xfId="493" xr:uid="{00000000-0005-0000-0000-0000EC010000}"/>
    <cellStyle name="Hyperlink 6 2" xfId="636" xr:uid="{9ED9A92E-8BA0-4932-8CE9-46351C64CE48}"/>
    <cellStyle name="Hyperlink 7" xfId="494" xr:uid="{00000000-0005-0000-0000-0000ED010000}"/>
    <cellStyle name="Hyperlink 7 2" xfId="637" xr:uid="{3F3E5132-450A-4D6D-AEFE-023054266347}"/>
    <cellStyle name="Hyperlink 7 3" xfId="1022" xr:uid="{891B00DE-DB45-410E-A110-ABB35204022A}"/>
    <cellStyle name="Hyperlink 7 4" xfId="955" xr:uid="{3015854A-35D3-42FF-9193-A7B98EA1291F}"/>
    <cellStyle name="Hyperlink 8" xfId="988" xr:uid="{4C337B61-C064-4B9B-A621-59F36A53799A}"/>
    <cellStyle name="Hyperlink 9" xfId="953" xr:uid="{FB311C3B-2D5C-4BA0-BA01-4A3D1C078FEE}"/>
    <cellStyle name="Input 2" xfId="495" xr:uid="{00000000-0005-0000-0000-0000EE010000}"/>
    <cellStyle name="Input 2 2" xfId="638" xr:uid="{5CD4070C-B633-4B68-9E36-7623B28325CB}"/>
    <cellStyle name="Input 2 2 2" xfId="989" xr:uid="{CA6C5048-EAFE-4E1B-B04B-971B991F3F80}"/>
    <cellStyle name="Link" xfId="487" builtinId="8"/>
    <cellStyle name="Link 2" xfId="628" xr:uid="{CB4E8052-DA8D-4D5B-9D74-A669E8E8F3C4}"/>
    <cellStyle name="Linked Cell 2" xfId="496" xr:uid="{00000000-0005-0000-0000-0000EF010000}"/>
    <cellStyle name="Linked Cell 2 2" xfId="639" xr:uid="{B667A7E3-9D59-42AC-96EC-189109B1EDA1}"/>
    <cellStyle name="Neutral 2" xfId="497" xr:uid="{00000000-0005-0000-0000-0000F0010000}"/>
    <cellStyle name="Neutral 2 2" xfId="640" xr:uid="{642650DB-1F90-4670-97D4-2A059950EBEB}"/>
    <cellStyle name="Neutral 2 2 2" xfId="990" xr:uid="{DA244E82-E027-4C7B-8B67-C21883B746D0}"/>
    <cellStyle name="Normal 10" xfId="498" xr:uid="{00000000-0005-0000-0000-0000F2010000}"/>
    <cellStyle name="Normal 100" xfId="499" xr:uid="{00000000-0005-0000-0000-0000F3010000}"/>
    <cellStyle name="Normal 100 2" xfId="1018" xr:uid="{C76DBA45-33AA-4F82-BDB8-386837806C74}"/>
    <cellStyle name="Normal 11" xfId="1000" xr:uid="{CC48FABA-42C6-4F44-8B66-5DE67D2A31FB}"/>
    <cellStyle name="Normal 11 2" xfId="1005" xr:uid="{2FAFB61F-AD12-49A6-9088-1C88740A628A}"/>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2 2" xfId="646" xr:uid="{65077D44-6A6B-473D-A23B-357179865DE5}"/>
    <cellStyle name="Normal 13 2 2 2 3" xfId="507" xr:uid="{00000000-0005-0000-0000-0000FB010000}"/>
    <cellStyle name="Normal 13 2 2 2 4" xfId="645" xr:uid="{971E0C98-A13B-4C43-998F-CF041F069DC3}"/>
    <cellStyle name="Normal 13 2 2 3" xfId="647" xr:uid="{C0685F0B-DAC6-4421-8E89-7AD734CBAF2F}"/>
    <cellStyle name="Normal 13 2 2 4" xfId="644" xr:uid="{40355B2B-2FC3-4162-8AFF-8FDB12683EB8}"/>
    <cellStyle name="Normal 13 2 3" xfId="508" xr:uid="{00000000-0005-0000-0000-0000FC010000}"/>
    <cellStyle name="Normal 13 2 3 2" xfId="649" xr:uid="{C8C7B12C-0AF3-420A-9931-B62B8AB65268}"/>
    <cellStyle name="Normal 13 2 3 3" xfId="648" xr:uid="{E36A0A23-854E-4B6A-8653-7C29A01889F6}"/>
    <cellStyle name="Normal 13 2 4" xfId="650" xr:uid="{056BAB3E-A771-404F-B43D-DFF4CAB268CC}"/>
    <cellStyle name="Normal 13 2 5" xfId="643" xr:uid="{A4302F49-83FC-4843-B61B-A1FCBE400C48}"/>
    <cellStyle name="Normal 13 3" xfId="509" xr:uid="{00000000-0005-0000-0000-0000FD010000}"/>
    <cellStyle name="Normal 13 3 2" xfId="510" xr:uid="{00000000-0005-0000-0000-0000FE010000}"/>
    <cellStyle name="Normal 13 3 2 2" xfId="653" xr:uid="{EBB2481A-F48A-4021-BB41-85AAFCEB42DB}"/>
    <cellStyle name="Normal 13 3 2 3" xfId="652" xr:uid="{124E4B15-A70A-4CD4-821B-891096D0C2AE}"/>
    <cellStyle name="Normal 13 3 3" xfId="654" xr:uid="{7F324B43-A1C8-41A5-B650-F896A7A3DA3B}"/>
    <cellStyle name="Normal 13 3 4" xfId="651" xr:uid="{8D150CEA-4981-479C-B50E-D347ADE411D1}"/>
    <cellStyle name="Normal 13 4" xfId="511" xr:uid="{00000000-0005-0000-0000-0000FF010000}"/>
    <cellStyle name="Normal 13 4 2" xfId="656" xr:uid="{10E01F0B-DAA6-4061-ADC1-8CCC12869A92}"/>
    <cellStyle name="Normal 13 4 3" xfId="655" xr:uid="{1655E202-3E33-4A6B-B73F-130532064C1D}"/>
    <cellStyle name="Normal 13 5" xfId="657" xr:uid="{04F753CC-0338-421A-99B2-B92696F4AA1B}"/>
    <cellStyle name="Normal 13 6" xfId="512" xr:uid="{00000000-0005-0000-0000-000000020000}"/>
    <cellStyle name="Normal 13 7" xfId="642" xr:uid="{D86FC59F-9D69-430A-8EAF-EA6CAB554732}"/>
    <cellStyle name="Normal 14" xfId="1019" xr:uid="{B2F48331-8761-4C4D-B25F-10CF9C1C3D8E}"/>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2 2" xfId="659" xr:uid="{6C5B0EF3-6E1C-4B36-8305-A5FE22EBBAD9}"/>
    <cellStyle name="Normal 2 2 2 3" xfId="658" xr:uid="{C30B8E15-FC1A-48DE-89C0-2FB2B4C72962}"/>
    <cellStyle name="Normal 2 2 3" xfId="520" xr:uid="{00000000-0005-0000-0000-000008020000}"/>
    <cellStyle name="Normal 2 2 3 2" xfId="661" xr:uid="{7D1B3B47-FC22-47A4-A9CE-D2EA998DAF56}"/>
    <cellStyle name="Normal 2 2 3 3" xfId="660" xr:uid="{751A6498-81D9-4C23-B64B-13481461EDF9}"/>
    <cellStyle name="Normal 2 3" xfId="521" xr:uid="{00000000-0005-0000-0000-000009020000}"/>
    <cellStyle name="Normal 2 3 2" xfId="522" xr:uid="{00000000-0005-0000-0000-00000A020000}"/>
    <cellStyle name="Normal 2 3 2 2" xfId="663" xr:uid="{9AC736F0-48E8-4D6F-93D9-428DD3AB2B0C}"/>
    <cellStyle name="Normal 2 3 2 3" xfId="662" xr:uid="{D3CB5C72-7AC5-41B1-B0BF-8E0DD6D994C9}"/>
    <cellStyle name="Normal 2 4" xfId="523" xr:uid="{00000000-0005-0000-0000-00000B020000}"/>
    <cellStyle name="Normal 2 4 2" xfId="524" xr:uid="{00000000-0005-0000-0000-00000C020000}"/>
    <cellStyle name="Normal 2 4 2 2" xfId="665" xr:uid="{2C510CDC-C0F8-4A32-8605-5CF39599C3F2}"/>
    <cellStyle name="Normal 2 4 2 3" xfId="664" xr:uid="{02F7AFCF-EFDF-4989-9563-ED86A375E9B1}"/>
    <cellStyle name="Normal 2 5" xfId="525" xr:uid="{00000000-0005-0000-0000-00000D020000}"/>
    <cellStyle name="Normal 2 5 2" xfId="666" xr:uid="{D2D64F83-A53E-4725-843B-3A719EDAF255}"/>
    <cellStyle name="Normal 2 6" xfId="956" xr:uid="{13722AD8-8B75-47FE-A2FA-828B16F2A906}"/>
    <cellStyle name="Normal 2 7" xfId="730" xr:uid="{72FFED58-B90A-4748-A32B-127A29B34D1E}"/>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2 2" xfId="669" xr:uid="{5BA1948A-E7C0-4410-BAA1-46E89228DD3B}"/>
    <cellStyle name="Normal 3 2 3" xfId="667" xr:uid="{E60AC5D2-108A-425C-97F7-8DE02560B46A}"/>
    <cellStyle name="Normal 3 3" xfId="530" xr:uid="{00000000-0005-0000-0000-000012020000}"/>
    <cellStyle name="Normal 3 3 2" xfId="670" xr:uid="{4E3C634F-47C0-48F7-BF3B-8AEC9B31E111}"/>
    <cellStyle name="Normal 3 4" xfId="531" xr:uid="{00000000-0005-0000-0000-000013020000}"/>
    <cellStyle name="Normal 3 4 2" xfId="672" xr:uid="{2AFD8191-E0B2-4006-8AD1-34E5D1D24490}"/>
    <cellStyle name="Normal 3 4 3" xfId="671" xr:uid="{3E562D99-6E06-4E0B-89F9-EC65EC562982}"/>
    <cellStyle name="Normal 3 5" xfId="673" xr:uid="{9CAE5356-BAF7-424F-BA2D-A6C933BDA402}"/>
    <cellStyle name="Normal 3 8" xfId="532" xr:uid="{00000000-0005-0000-0000-000014020000}"/>
    <cellStyle name="Normal 3 8 2" xfId="533" xr:uid="{00000000-0005-0000-0000-000015020000}"/>
    <cellStyle name="Normal 3 8 2 2" xfId="534" xr:uid="{00000000-0005-0000-0000-000016020000}"/>
    <cellStyle name="Normal 3 8 2 2 2" xfId="677" xr:uid="{ED1B743D-7AE9-4F22-88E4-2D2EFF6B8B6B}"/>
    <cellStyle name="Normal 3 8 2 2 3" xfId="676" xr:uid="{93D80F3B-CCCD-4FC8-86F5-E444757A2F8D}"/>
    <cellStyle name="Normal 3 8 2 3" xfId="678" xr:uid="{169CD382-F826-4A97-BA32-43B5092910BD}"/>
    <cellStyle name="Normal 3 8 2 4" xfId="675" xr:uid="{377FCFCC-6F09-48E0-9041-FA8C82C9BD59}"/>
    <cellStyle name="Normal 3 8 3" xfId="535" xr:uid="{00000000-0005-0000-0000-000017020000}"/>
    <cellStyle name="Normal 3 8 3 2" xfId="680" xr:uid="{B4313763-9E8D-4BE0-BDCD-FEFD2CDAD9D6}"/>
    <cellStyle name="Normal 3 8 3 3" xfId="679" xr:uid="{0234FBDC-95BF-4C38-9DCF-8F7B0FD6079A}"/>
    <cellStyle name="Normal 3 8 4" xfId="681" xr:uid="{72A17528-63BD-4B83-A156-39175AD91377}"/>
    <cellStyle name="Normal 3 8 5" xfId="674" xr:uid="{CC663A82-D231-4D61-B412-B7FAB707F9FC}"/>
    <cellStyle name="Normal 4" xfId="536" xr:uid="{00000000-0005-0000-0000-000018020000}"/>
    <cellStyle name="Normal 4 2" xfId="537" xr:uid="{00000000-0005-0000-0000-000019020000}"/>
    <cellStyle name="Normal 4 2 2" xfId="684" xr:uid="{2CA0DEFB-D55A-4759-90EE-8E65D4B94E83}"/>
    <cellStyle name="Normal 4 2 3" xfId="683" xr:uid="{344AFE98-28B8-4254-8859-D0CC4C4EB4E0}"/>
    <cellStyle name="Normal 4 3" xfId="538" xr:uid="{00000000-0005-0000-0000-00001A020000}"/>
    <cellStyle name="Normal 4 4" xfId="539" xr:uid="{00000000-0005-0000-0000-00001B020000}"/>
    <cellStyle name="Normal 4 4 2" xfId="687" xr:uid="{D089E879-BA18-4096-85BA-21775302F9D1}"/>
    <cellStyle name="Normal 4 4 3" xfId="686" xr:uid="{BE7EC33C-C137-4500-AD1D-BF03591F148C}"/>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2 2" xfId="688" xr:uid="{1D04E110-9CE7-4CBB-889A-00FA2969C35F}"/>
    <cellStyle name="Normal 5 3" xfId="550" xr:uid="{00000000-0005-0000-0000-000026020000}"/>
    <cellStyle name="Normal 5 3 2" xfId="690" xr:uid="{9A106A12-7F5E-4C19-92A9-D73321243F66}"/>
    <cellStyle name="Normal 5 3 3" xfId="689" xr:uid="{588C7D41-DAE7-456A-A7CC-74A49DC8F4D2}"/>
    <cellStyle name="Normal 5 4" xfId="691" xr:uid="{F17FDFC3-A5A9-4270-B0F1-0510AB763E18}"/>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2 2" xfId="694" xr:uid="{AB8D6AD2-9CDA-45F1-A35C-95D6C83C4013}"/>
    <cellStyle name="Normal 6 2 3" xfId="693" xr:uid="{0960AB17-F23D-4524-9F1F-75FF750B28C4}"/>
    <cellStyle name="Normal 6 3" xfId="566" xr:uid="{00000000-0005-0000-0000-000036020000}"/>
    <cellStyle name="Normal 6 4" xfId="695" xr:uid="{B5A8F32A-4210-4AFC-AF80-F5554D00AD3D}"/>
    <cellStyle name="Normal 6 5" xfId="692" xr:uid="{E5FC0A4C-2601-4468-8019-F982F99B3553}"/>
    <cellStyle name="Normal 7" xfId="567" xr:uid="{00000000-0005-0000-0000-000037020000}"/>
    <cellStyle name="Normal 7 2" xfId="568" xr:uid="{00000000-0005-0000-0000-000038020000}"/>
    <cellStyle name="Normal 7 2 2" xfId="697" xr:uid="{394AEAF3-DB29-4790-A60E-DAD4A124455E}"/>
    <cellStyle name="Normal 7 2 3" xfId="696" xr:uid="{127C7388-8338-476A-8B6D-C1FCD6FA57B7}"/>
    <cellStyle name="Normal 8" xfId="569" xr:uid="{00000000-0005-0000-0000-000039020000}"/>
    <cellStyle name="Normal 8 2" xfId="993" xr:uid="{CABC2E9D-94D1-429A-A8E8-B80616F82A51}"/>
    <cellStyle name="Normal 9" xfId="592" xr:uid="{847B6E86-FBAA-4447-A2D3-23B088528AA3}"/>
    <cellStyle name="Normal 9 2" xfId="1014" xr:uid="{5CCEF2B5-878B-4FE6-93A2-538A10BBEE8C}"/>
    <cellStyle name="Normal 9 2 2" xfId="1024" xr:uid="{4886A29D-0727-4859-BF4D-8DAC090642C0}"/>
    <cellStyle name="Normal 9 3" xfId="957" xr:uid="{5C027988-C2E4-4852-9842-7250C30002BC}"/>
    <cellStyle name="Normal_RECOM 6.22" xfId="1023" xr:uid="{6294B59D-0784-4C6A-886E-8A23CA393FF3}"/>
    <cellStyle name="Normal_Sheet1" xfId="570" xr:uid="{00000000-0005-0000-0000-00003A020000}"/>
    <cellStyle name="Normale 3" xfId="1013" xr:uid="{AD78DE2E-5E1B-43A5-AB52-A5218DA7D09E}"/>
    <cellStyle name="Note 2" xfId="571" xr:uid="{00000000-0005-0000-0000-00003B020000}"/>
    <cellStyle name="Note 2 2" xfId="698" xr:uid="{C3DBA4AB-B382-45D1-A488-F9D8D4C89795}"/>
    <cellStyle name="Note 2 2 2" xfId="991" xr:uid="{6ED5CEF8-5BF8-4FCC-AED4-95B0A6B66A90}"/>
    <cellStyle name="Output 2" xfId="572" xr:uid="{00000000-0005-0000-0000-00003C020000}"/>
    <cellStyle name="Output 2 2" xfId="699" xr:uid="{B2D9E56B-F1B5-4C71-87AD-5C183AB826DA}"/>
    <cellStyle name="Output 2 2 2" xfId="992" xr:uid="{3CAA599A-D25D-4E2E-BF60-5E94C4396CBB}"/>
    <cellStyle name="Percent 2" xfId="573" xr:uid="{00000000-0005-0000-0000-00003D020000}"/>
    <cellStyle name="Standard" xfId="0" builtinId="0"/>
    <cellStyle name="Standard 2" xfId="1001" xr:uid="{128D59A1-B986-4D7E-B044-ABB1D3B5A36E}"/>
    <cellStyle name="Standard 2 2" xfId="1003" xr:uid="{52955130-7D8A-4BBA-B74B-8B723651428D}"/>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2 2 2" xfId="704" xr:uid="{27B6AC0D-2BBB-4D7C-92A2-60997B503FD5}"/>
    <cellStyle name="Standard 4 2 2 2 3" xfId="703" xr:uid="{9C3CA564-D1C7-4164-B084-5FEA02543084}"/>
    <cellStyle name="Standard 4 2 2 3" xfId="705" xr:uid="{463E7401-07B2-4151-89CA-F6A0FE2B6728}"/>
    <cellStyle name="Standard 4 2 2 4" xfId="702" xr:uid="{227C49F6-576F-44E2-B14F-F8D199BADB47}"/>
    <cellStyle name="Standard 4 2 3" xfId="579" xr:uid="{00000000-0005-0000-0000-000043020000}"/>
    <cellStyle name="Standard 4 2 3 2" xfId="707" xr:uid="{737493B7-6701-47FE-AD38-0CE4593C1301}"/>
    <cellStyle name="Standard 4 2 3 3" xfId="706" xr:uid="{4F057AFD-6CDE-4E18-8ADB-38EE230A8873}"/>
    <cellStyle name="Standard 4 2 4" xfId="708" xr:uid="{9FE17240-D4D9-49BF-8E85-5B388555C7E9}"/>
    <cellStyle name="Standard 4 2 5" xfId="701" xr:uid="{825667A5-FE6B-42E0-A98F-32165F62CAB6}"/>
    <cellStyle name="Standard 4 3" xfId="580" xr:uid="{00000000-0005-0000-0000-000044020000}"/>
    <cellStyle name="Standard 4 3 2" xfId="581" xr:uid="{00000000-0005-0000-0000-000045020000}"/>
    <cellStyle name="Standard 4 3 2 2" xfId="711" xr:uid="{670DB408-374D-4070-8A2D-5B8066E5B1F9}"/>
    <cellStyle name="Standard 4 3 2 3" xfId="710" xr:uid="{5C485C76-C130-4977-ABFB-236F76FB87DC}"/>
    <cellStyle name="Standard 4 3 3" xfId="712" xr:uid="{2EB09ECC-3736-4B39-89C9-264A7225D5D3}"/>
    <cellStyle name="Standard 4 3 4" xfId="709" xr:uid="{E139A68A-CB62-4686-8A88-AD3FA7EAD345}"/>
    <cellStyle name="Standard 4 4" xfId="582" xr:uid="{00000000-0005-0000-0000-000046020000}"/>
    <cellStyle name="Standard 4 4 2" xfId="714" xr:uid="{2A015375-4B12-45C5-931E-40179F920019}"/>
    <cellStyle name="Standard 4 4 3" xfId="713" xr:uid="{7A59C13E-2AC6-4763-81B0-97A61A072BE6}"/>
    <cellStyle name="Standard 4 5" xfId="715" xr:uid="{B881DC05-AB35-4D60-9879-E27A760E07B3}"/>
    <cellStyle name="Standard 4 6" xfId="700" xr:uid="{07358D3F-3C84-40D4-98F9-03150D7178E2}"/>
    <cellStyle name="Standard 5" xfId="1004" xr:uid="{6A047D70-379F-4292-B904-BF5929E1FC75}"/>
    <cellStyle name="Standard 6" xfId="583" xr:uid="{00000000-0005-0000-0000-000047020000}"/>
    <cellStyle name="Title 2" xfId="584" xr:uid="{00000000-0005-0000-0000-000048020000}"/>
    <cellStyle name="Title 2 2" xfId="716" xr:uid="{66718140-B4E7-4A12-A3A2-0DCA997282D6}"/>
    <cellStyle name="Total 2" xfId="585" xr:uid="{00000000-0005-0000-0000-000049020000}"/>
    <cellStyle name="Total 2 2" xfId="717" xr:uid="{2EBECA0C-C383-4206-BF4D-978FEFC35CF8}"/>
    <cellStyle name="Warning Text 2" xfId="586" xr:uid="{00000000-0005-0000-0000-00004A020000}"/>
    <cellStyle name="Warning Text 2 2" xfId="718" xr:uid="{23C324B8-83C7-4BDF-ACC1-F65CF37B2EDC}"/>
    <cellStyle name="표준 2" xfId="587" xr:uid="{00000000-0005-0000-0000-00004B020000}"/>
    <cellStyle name="표준 2 2" xfId="719" xr:uid="{96F3F155-0949-41BB-B072-63C4959BB2C1}"/>
    <cellStyle name="표준 2 3" xfId="720" xr:uid="{D5BDC3F7-9D5D-4D7D-BE1F-986EE28F5241}"/>
    <cellStyle name="표준 2 4" xfId="721" xr:uid="{C64EF8EA-FC1F-4F53-9BD4-D88D2DAC42A7}"/>
    <cellStyle name="표준 2 5" xfId="722" xr:uid="{9FFDB869-B04A-4938-85C2-64E848261162}"/>
    <cellStyle name="표준 2 6" xfId="723" xr:uid="{F8640529-DB6B-495C-8BDE-8C278631BC05}"/>
    <cellStyle name="표준 3" xfId="724" xr:uid="{A67CB5F1-C7FD-40DC-A868-12F8F7B34CED}"/>
    <cellStyle name="표준 4" xfId="725" xr:uid="{EF73327A-033B-4137-BEFA-55C7CDED47B4}"/>
    <cellStyle name="표준 5" xfId="726" xr:uid="{55C21AFC-9B79-4E8B-8415-5464E969365E}"/>
    <cellStyle name="표준 6" xfId="727" xr:uid="{41CE3A56-A02C-4FD2-8420-40B3CE296263}"/>
    <cellStyle name="표준 7" xfId="728" xr:uid="{0D3A7EFC-FAB5-4C22-82E0-AB912B59046F}"/>
    <cellStyle name="一般 11 2" xfId="997" xr:uid="{A6222E0A-9C1C-45AD-8E03-31871C364365}"/>
    <cellStyle name="一般 2 2" xfId="996" xr:uid="{5602FBBA-2E66-40EB-88B1-146C45445CBE}"/>
    <cellStyle name="一般 3 2" xfId="999" xr:uid="{DFE858A9-763A-49FA-8305-B990CE256F28}"/>
    <cellStyle name="一般 6" xfId="998" xr:uid="{DFF7506B-69F8-4313-920F-E45E730C1081}"/>
    <cellStyle name="一般 7" xfId="588" xr:uid="{00000000-0005-0000-0000-00004C020000}"/>
    <cellStyle name="一般 8" xfId="995" xr:uid="{D5B86D89-A483-4CFF-A8E0-A733408314FA}"/>
    <cellStyle name="一般_Sheet1" xfId="1009" xr:uid="{C3574B09-053D-4A10-98B0-F6834BAFC8BD}"/>
    <cellStyle name="常规 10" xfId="1011" xr:uid="{2F03FFE2-0816-4E63-943D-2E42C7A526A1}"/>
    <cellStyle name="常规 12" xfId="1021" xr:uid="{B15F9141-1235-46E3-AB91-2BD9C78D68B3}"/>
    <cellStyle name="常规 2" xfId="1020" xr:uid="{40F77EF8-BFE9-4831-8403-81AD4F141170}"/>
    <cellStyle name="常规 8" xfId="1010" xr:uid="{BC863390-2CD7-4353-A7F7-38571DE1CEC4}"/>
    <cellStyle name="常规 9" xfId="1015" xr:uid="{F2D647C0-4D32-4EAE-8938-83F7E91431B4}"/>
    <cellStyle name="標準 2" xfId="589" xr:uid="{00000000-0005-0000-0000-00004D020000}"/>
    <cellStyle name="標準 2 2" xfId="590" xr:uid="{00000000-0005-0000-0000-00004E020000}"/>
    <cellStyle name="標準 2 3" xfId="591" xr:uid="{00000000-0005-0000-0000-00004F020000}"/>
    <cellStyle name="標準 3" xfId="1002" xr:uid="{10DE3AD9-896F-4B85-99D5-955ADAE1884C}"/>
    <cellStyle name="標準 4" xfId="994" xr:uid="{8994DA88-5A50-4E49-BFCA-E6022B98216D}"/>
    <cellStyle name="標準 5" xfId="1006" xr:uid="{4FCF4F05-AF2F-43A1-BA7D-C7FD517DEF81}"/>
    <cellStyle name="標準 5 2" xfId="1007" xr:uid="{F55F8A5E-450E-41C4-9116-86C3DB6EE201}"/>
    <cellStyle name="標準_Sheet1" xfId="731" xr:uid="{EADD269F-DD01-4DAE-8B87-4CA1915FB37D}"/>
    <cellStyle name="超連結 4" xfId="1017" xr:uid="{08ACFF1C-1300-473D-B9A9-B6477C9FD714}"/>
    <cellStyle name="超链接 2" xfId="1016" xr:uid="{4C6AE2D0-6E92-46C2-A82C-4F279B8EA492}"/>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3</xdr:row>
      <xdr:rowOff>516052</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christoph.mueller@printecds.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christoph.mueller@printecds.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1" activePane="bottomRight" state="frozen"/>
      <selection activeCell="A4" sqref="A4"/>
      <selection pane="topRight" activeCell="A4" sqref="A4"/>
      <selection pane="bottomLeft" activeCell="A4" sqref="A4"/>
      <selection pane="bottomRight" activeCell="B57" sqref="B57"/>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37"/>
      <c r="B2" s="5" t="s">
        <v>843</v>
      </c>
      <c r="C2" s="3"/>
      <c r="D2" s="175"/>
      <c r="E2" s="3"/>
      <c r="F2" s="3"/>
      <c r="G2" s="25"/>
    </row>
    <row r="3" spans="1:7">
      <c r="A3" s="337"/>
      <c r="B3" s="3" t="s">
        <v>835</v>
      </c>
      <c r="C3" s="5"/>
      <c r="D3" s="176"/>
      <c r="E3" s="3"/>
      <c r="F3" s="5"/>
      <c r="G3" s="25"/>
    </row>
    <row r="4" spans="1:7" ht="15.75">
      <c r="A4" s="337"/>
      <c r="B4" s="30" t="s">
        <v>845</v>
      </c>
      <c r="C4" s="6"/>
      <c r="D4" s="177"/>
      <c r="E4" s="3"/>
      <c r="F4" s="6"/>
      <c r="G4" s="25"/>
    </row>
    <row r="5" spans="1:7">
      <c r="A5" s="337"/>
      <c r="B5" s="29" t="s">
        <v>1036</v>
      </c>
      <c r="C5" s="4"/>
      <c r="D5" s="178"/>
      <c r="E5" s="3"/>
      <c r="F5" s="4"/>
      <c r="G5" s="25"/>
    </row>
    <row r="6" spans="1:7">
      <c r="A6" s="337"/>
      <c r="B6" s="3"/>
      <c r="C6" s="3"/>
      <c r="D6" s="175"/>
      <c r="E6" s="3"/>
      <c r="F6" s="3"/>
      <c r="G6" s="25"/>
    </row>
    <row r="7" spans="1:7">
      <c r="A7" s="337"/>
      <c r="B7" s="3"/>
      <c r="C7" s="3"/>
      <c r="D7" s="175"/>
      <c r="E7" s="3"/>
      <c r="F7" s="3"/>
      <c r="G7" s="25"/>
    </row>
    <row r="8" spans="1:7">
      <c r="A8" s="337"/>
      <c r="B8" s="3"/>
      <c r="C8" s="3"/>
      <c r="D8" s="175"/>
      <c r="E8" s="3"/>
      <c r="F8" s="3"/>
      <c r="G8" s="25"/>
    </row>
    <row r="9" spans="1:7">
      <c r="A9" s="337"/>
      <c r="B9" s="340" t="s">
        <v>846</v>
      </c>
      <c r="C9" s="340"/>
      <c r="D9" s="340"/>
      <c r="E9" s="340"/>
      <c r="F9" s="340"/>
      <c r="G9" s="25"/>
    </row>
    <row r="10" spans="1:7" ht="27" customHeight="1">
      <c r="A10" s="337"/>
      <c r="B10" s="341" t="s">
        <v>438</v>
      </c>
      <c r="C10" s="341"/>
      <c r="D10" s="341"/>
      <c r="E10" s="341"/>
      <c r="F10" s="341"/>
      <c r="G10" s="25"/>
    </row>
    <row r="11" spans="1:7" ht="27" customHeight="1">
      <c r="A11" s="337"/>
      <c r="B11" s="342"/>
      <c r="C11" s="342"/>
      <c r="D11" s="342"/>
      <c r="E11" s="342"/>
      <c r="F11" s="342"/>
      <c r="G11" s="25"/>
    </row>
    <row r="12" spans="1:7">
      <c r="A12" s="337"/>
      <c r="B12" s="31" t="s">
        <v>844</v>
      </c>
      <c r="C12" s="32" t="s">
        <v>847</v>
      </c>
      <c r="D12" s="179" t="s">
        <v>848</v>
      </c>
      <c r="E12" s="32" t="s">
        <v>612</v>
      </c>
      <c r="F12" s="32" t="s">
        <v>613</v>
      </c>
      <c r="G12" s="25"/>
    </row>
    <row r="13" spans="1:7" ht="33.75">
      <c r="A13" s="337"/>
      <c r="B13" s="2">
        <v>1</v>
      </c>
      <c r="C13" s="27" t="s">
        <v>1084</v>
      </c>
      <c r="D13" s="28" t="s">
        <v>872</v>
      </c>
      <c r="E13" s="163" t="s">
        <v>849</v>
      </c>
      <c r="F13" s="163"/>
      <c r="G13" s="25"/>
    </row>
    <row r="14" spans="1:7" ht="33.75">
      <c r="A14" s="337"/>
      <c r="B14" s="2">
        <v>2</v>
      </c>
      <c r="C14" s="27" t="s">
        <v>1084</v>
      </c>
      <c r="D14" s="28" t="s">
        <v>1021</v>
      </c>
      <c r="E14" s="163" t="s">
        <v>530</v>
      </c>
      <c r="F14" s="163" t="s">
        <v>531</v>
      </c>
      <c r="G14" s="25"/>
    </row>
    <row r="15" spans="1:7" ht="89.1" customHeight="1">
      <c r="A15" s="337"/>
      <c r="B15" s="322">
        <v>2.0099999999999998</v>
      </c>
      <c r="C15" s="334" t="s">
        <v>1084</v>
      </c>
      <c r="D15" s="343" t="s">
        <v>2246</v>
      </c>
      <c r="E15" s="164" t="s">
        <v>614</v>
      </c>
      <c r="F15" s="164" t="s">
        <v>617</v>
      </c>
      <c r="G15" s="25"/>
    </row>
    <row r="16" spans="1:7" ht="99" customHeight="1">
      <c r="A16" s="337"/>
      <c r="B16" s="323"/>
      <c r="C16" s="335"/>
      <c r="D16" s="344"/>
      <c r="E16" s="165"/>
      <c r="F16" s="165" t="s">
        <v>615</v>
      </c>
      <c r="G16" s="25"/>
    </row>
    <row r="17" spans="1:7" ht="63" customHeight="1">
      <c r="A17" s="337"/>
      <c r="B17" s="324"/>
      <c r="C17" s="336"/>
      <c r="D17" s="345"/>
      <c r="E17" s="27"/>
      <c r="F17" s="27" t="s">
        <v>616</v>
      </c>
      <c r="G17" s="25"/>
    </row>
    <row r="18" spans="1:7" ht="117" customHeight="1">
      <c r="A18" s="337"/>
      <c r="B18" s="322">
        <v>2.02</v>
      </c>
      <c r="C18" s="334" t="s">
        <v>1084</v>
      </c>
      <c r="D18" s="343" t="s">
        <v>2247</v>
      </c>
      <c r="E18" s="164" t="s">
        <v>439</v>
      </c>
      <c r="F18" s="164" t="s">
        <v>525</v>
      </c>
      <c r="G18" s="25"/>
    </row>
    <row r="19" spans="1:7" ht="71.099999999999994" customHeight="1">
      <c r="A19" s="337"/>
      <c r="B19" s="323"/>
      <c r="C19" s="335"/>
      <c r="D19" s="344"/>
      <c r="E19" s="165" t="s">
        <v>529</v>
      </c>
      <c r="F19" s="165" t="s">
        <v>440</v>
      </c>
      <c r="G19" s="25"/>
    </row>
    <row r="20" spans="1:7" ht="90.75" customHeight="1">
      <c r="A20" s="337"/>
      <c r="B20" s="323"/>
      <c r="C20" s="335"/>
      <c r="D20" s="344"/>
      <c r="E20" s="165"/>
      <c r="F20" s="165" t="s">
        <v>619</v>
      </c>
      <c r="G20" s="25"/>
    </row>
    <row r="21" spans="1:7" ht="74.25" customHeight="1">
      <c r="A21" s="337"/>
      <c r="B21" s="324"/>
      <c r="C21" s="336"/>
      <c r="D21" s="345"/>
      <c r="E21" s="27"/>
      <c r="F21" s="27" t="s">
        <v>618</v>
      </c>
      <c r="G21" s="25"/>
    </row>
    <row r="22" spans="1:7" ht="90" customHeight="1">
      <c r="A22" s="337"/>
      <c r="B22" s="328">
        <v>2.0299999999999998</v>
      </c>
      <c r="C22" s="328" t="s">
        <v>818</v>
      </c>
      <c r="D22" s="331" t="s">
        <v>2248</v>
      </c>
      <c r="E22" s="334" t="s">
        <v>437</v>
      </c>
      <c r="F22" s="164" t="s">
        <v>460</v>
      </c>
      <c r="G22" s="25"/>
    </row>
    <row r="23" spans="1:7" ht="109.5" customHeight="1">
      <c r="A23" s="337"/>
      <c r="B23" s="329"/>
      <c r="C23" s="329"/>
      <c r="D23" s="332"/>
      <c r="E23" s="335"/>
      <c r="F23" s="165" t="s">
        <v>819</v>
      </c>
      <c r="G23" s="25"/>
    </row>
    <row r="24" spans="1:7" ht="74.25" customHeight="1">
      <c r="A24" s="337"/>
      <c r="B24" s="330"/>
      <c r="C24" s="330"/>
      <c r="D24" s="333"/>
      <c r="E24" s="336"/>
      <c r="F24" s="27" t="s">
        <v>436</v>
      </c>
      <c r="G24" s="25"/>
    </row>
    <row r="25" spans="1:7" ht="72" customHeight="1">
      <c r="A25" s="337"/>
      <c r="B25" s="2" t="s">
        <v>458</v>
      </c>
      <c r="C25" s="27" t="s">
        <v>459</v>
      </c>
      <c r="D25" s="28" t="s">
        <v>2249</v>
      </c>
      <c r="E25" s="27" t="s">
        <v>2244</v>
      </c>
      <c r="F25" s="27" t="s">
        <v>461</v>
      </c>
      <c r="G25" s="25"/>
    </row>
    <row r="26" spans="1:7" ht="98.1" customHeight="1">
      <c r="A26" s="337"/>
      <c r="B26" s="325">
        <v>3</v>
      </c>
      <c r="C26" s="322" t="s">
        <v>70</v>
      </c>
      <c r="D26" s="343" t="s">
        <v>2250</v>
      </c>
      <c r="E26" s="334" t="s">
        <v>0</v>
      </c>
      <c r="F26" s="164" t="s">
        <v>64</v>
      </c>
      <c r="G26" s="25"/>
    </row>
    <row r="27" spans="1:7" ht="90" customHeight="1">
      <c r="A27" s="337"/>
      <c r="B27" s="326"/>
      <c r="C27" s="323"/>
      <c r="D27" s="344"/>
      <c r="E27" s="335"/>
      <c r="F27" s="165" t="s">
        <v>59</v>
      </c>
      <c r="G27" s="25"/>
    </row>
    <row r="28" spans="1:7" ht="19.350000000000001" customHeight="1">
      <c r="A28" s="337"/>
      <c r="B28" s="326"/>
      <c r="C28" s="323"/>
      <c r="D28" s="344"/>
      <c r="E28" s="335"/>
      <c r="F28" s="165" t="s">
        <v>60</v>
      </c>
      <c r="G28" s="25"/>
    </row>
    <row r="29" spans="1:7" ht="74.650000000000006" customHeight="1">
      <c r="A29" s="337"/>
      <c r="B29" s="326"/>
      <c r="C29" s="323"/>
      <c r="D29" s="344"/>
      <c r="E29" s="335"/>
      <c r="F29" s="165" t="s">
        <v>61</v>
      </c>
      <c r="G29" s="25"/>
    </row>
    <row r="30" spans="1:7" ht="62.65" customHeight="1">
      <c r="A30" s="337"/>
      <c r="B30" s="326"/>
      <c r="C30" s="323"/>
      <c r="D30" s="344"/>
      <c r="E30" s="335"/>
      <c r="F30" s="165" t="s">
        <v>62</v>
      </c>
      <c r="G30" s="25"/>
    </row>
    <row r="31" spans="1:7" ht="81" customHeight="1">
      <c r="A31" s="337"/>
      <c r="B31" s="326"/>
      <c r="C31" s="323"/>
      <c r="D31" s="344"/>
      <c r="E31" s="335"/>
      <c r="F31" s="165" t="s">
        <v>63</v>
      </c>
      <c r="G31" s="25"/>
    </row>
    <row r="32" spans="1:7" ht="48.75" customHeight="1">
      <c r="A32" s="337"/>
      <c r="B32" s="326"/>
      <c r="C32" s="323"/>
      <c r="D32" s="344"/>
      <c r="E32" s="335"/>
      <c r="F32" s="165" t="s">
        <v>66</v>
      </c>
      <c r="G32" s="25"/>
    </row>
    <row r="33" spans="1:7" ht="98.65" customHeight="1">
      <c r="A33" s="337"/>
      <c r="B33" s="326"/>
      <c r="C33" s="323"/>
      <c r="D33" s="344"/>
      <c r="E33" s="335"/>
      <c r="F33" s="165" t="s">
        <v>65</v>
      </c>
      <c r="G33" s="25"/>
    </row>
    <row r="34" spans="1:7" ht="89.1" customHeight="1">
      <c r="A34" s="337"/>
      <c r="B34" s="326"/>
      <c r="C34" s="323"/>
      <c r="D34" s="344"/>
      <c r="E34" s="335"/>
      <c r="F34" s="165" t="s">
        <v>67</v>
      </c>
      <c r="G34" s="25"/>
    </row>
    <row r="35" spans="1:7" ht="29.1" customHeight="1">
      <c r="A35" s="337"/>
      <c r="B35" s="326"/>
      <c r="C35" s="323"/>
      <c r="D35" s="344"/>
      <c r="E35" s="335"/>
      <c r="F35" s="165" t="s">
        <v>68</v>
      </c>
      <c r="G35" s="25"/>
    </row>
    <row r="36" spans="1:7" ht="126.75">
      <c r="A36" s="337"/>
      <c r="B36" s="327"/>
      <c r="C36" s="324"/>
      <c r="D36" s="345"/>
      <c r="E36" s="336"/>
      <c r="F36" s="166" t="s">
        <v>69</v>
      </c>
      <c r="G36" s="25"/>
    </row>
    <row r="37" spans="1:7" ht="112.5">
      <c r="A37" s="337"/>
      <c r="B37" s="141">
        <v>3.01</v>
      </c>
      <c r="C37" s="142" t="s">
        <v>70</v>
      </c>
      <c r="D37" s="28" t="s">
        <v>2251</v>
      </c>
      <c r="E37" s="167" t="s">
        <v>1323</v>
      </c>
      <c r="F37" s="168" t="s">
        <v>1427</v>
      </c>
      <c r="G37" s="25"/>
    </row>
    <row r="38" spans="1:7" ht="101.25">
      <c r="A38" s="337"/>
      <c r="B38" s="141">
        <v>3.02</v>
      </c>
      <c r="C38" s="142" t="s">
        <v>1356</v>
      </c>
      <c r="D38" s="28" t="s">
        <v>2252</v>
      </c>
      <c r="E38" s="167" t="s">
        <v>1371</v>
      </c>
      <c r="F38" s="168" t="s">
        <v>1428</v>
      </c>
      <c r="G38" s="25"/>
    </row>
    <row r="39" spans="1:7" ht="101.25">
      <c r="A39" s="337"/>
      <c r="B39" s="150">
        <v>4</v>
      </c>
      <c r="C39" s="149" t="s">
        <v>1524</v>
      </c>
      <c r="D39" s="28" t="s">
        <v>2253</v>
      </c>
      <c r="E39" s="27" t="s">
        <v>2198</v>
      </c>
      <c r="F39" s="27" t="s">
        <v>1525</v>
      </c>
      <c r="G39" s="25"/>
    </row>
    <row r="40" spans="1:7" ht="56.25">
      <c r="A40" s="337"/>
      <c r="B40" s="141">
        <v>4.01</v>
      </c>
      <c r="C40" s="149" t="s">
        <v>1524</v>
      </c>
      <c r="D40" s="28" t="s">
        <v>2255</v>
      </c>
      <c r="E40" s="27" t="s">
        <v>2210</v>
      </c>
      <c r="F40" s="27" t="s">
        <v>2214</v>
      </c>
      <c r="G40" s="25"/>
    </row>
    <row r="41" spans="1:7" ht="56.25">
      <c r="A41" s="337"/>
      <c r="B41" s="141" t="s">
        <v>2242</v>
      </c>
      <c r="C41" s="149" t="s">
        <v>1524</v>
      </c>
      <c r="D41" s="28" t="s">
        <v>2254</v>
      </c>
      <c r="E41" s="27" t="s">
        <v>2245</v>
      </c>
      <c r="F41" s="27" t="s">
        <v>2243</v>
      </c>
      <c r="G41" s="25"/>
    </row>
    <row r="42" spans="1:7" ht="56.25">
      <c r="A42" s="337"/>
      <c r="B42" s="141" t="s">
        <v>2276</v>
      </c>
      <c r="C42" s="149" t="s">
        <v>1524</v>
      </c>
      <c r="D42" s="28" t="s">
        <v>2281</v>
      </c>
      <c r="E42" s="27" t="s">
        <v>2244</v>
      </c>
      <c r="F42" s="27" t="s">
        <v>2277</v>
      </c>
      <c r="G42" s="25"/>
    </row>
    <row r="43" spans="1:7" ht="123.75">
      <c r="A43" s="337"/>
      <c r="B43" s="160">
        <v>4.0999999999999996</v>
      </c>
      <c r="C43" s="149" t="s">
        <v>2280</v>
      </c>
      <c r="D43" s="161">
        <v>42867</v>
      </c>
      <c r="E43" s="169" t="s">
        <v>2283</v>
      </c>
      <c r="F43" s="27" t="s">
        <v>2282</v>
      </c>
      <c r="G43" s="25"/>
    </row>
    <row r="44" spans="1:7" ht="78.75">
      <c r="A44" s="337"/>
      <c r="B44" s="160">
        <v>4.2</v>
      </c>
      <c r="C44" s="149" t="s">
        <v>2280</v>
      </c>
      <c r="D44" s="161">
        <v>42704</v>
      </c>
      <c r="E44" s="169" t="s">
        <v>2479</v>
      </c>
      <c r="F44" s="27" t="s">
        <v>2454</v>
      </c>
      <c r="G44" s="25"/>
    </row>
    <row r="45" spans="1:7" ht="157.5">
      <c r="A45" s="337"/>
      <c r="B45" s="202">
        <v>5</v>
      </c>
      <c r="C45" s="149" t="s">
        <v>2280</v>
      </c>
      <c r="D45" s="161">
        <v>42867</v>
      </c>
      <c r="E45" s="169" t="s">
        <v>12705</v>
      </c>
      <c r="F45" s="27" t="s">
        <v>12427</v>
      </c>
      <c r="G45" s="25"/>
    </row>
    <row r="46" spans="1:7" ht="45">
      <c r="A46" s="337"/>
      <c r="B46" s="160">
        <v>5.01</v>
      </c>
      <c r="C46" s="149" t="s">
        <v>2280</v>
      </c>
      <c r="D46" s="161">
        <v>42907</v>
      </c>
      <c r="E46" s="169" t="s">
        <v>15521</v>
      </c>
      <c r="F46" s="27" t="s">
        <v>12427</v>
      </c>
      <c r="G46" s="25"/>
    </row>
    <row r="47" spans="1:7" ht="67.5">
      <c r="A47" s="337"/>
      <c r="B47" s="160">
        <v>5.0999999999999996</v>
      </c>
      <c r="C47" s="149" t="s">
        <v>2280</v>
      </c>
      <c r="D47" s="161">
        <v>43070</v>
      </c>
      <c r="E47" s="169" t="s">
        <v>12915</v>
      </c>
      <c r="F47" s="27" t="s">
        <v>12916</v>
      </c>
      <c r="G47" s="25"/>
    </row>
    <row r="48" spans="1:7" ht="56.25">
      <c r="A48" s="337"/>
      <c r="B48" s="160">
        <v>5.1100000000000003</v>
      </c>
      <c r="C48" s="149" t="s">
        <v>13152</v>
      </c>
      <c r="D48" s="161">
        <v>43217</v>
      </c>
      <c r="E48" s="169" t="s">
        <v>13278</v>
      </c>
      <c r="F48" s="27" t="s">
        <v>13186</v>
      </c>
      <c r="G48" s="25"/>
    </row>
    <row r="49" spans="1:7" ht="56.25">
      <c r="A49" s="337"/>
      <c r="B49" s="160">
        <v>5.12</v>
      </c>
      <c r="C49" s="149" t="s">
        <v>13152</v>
      </c>
      <c r="D49" s="161">
        <v>43581</v>
      </c>
      <c r="E49" s="169" t="s">
        <v>13278</v>
      </c>
      <c r="F49" s="27" t="s">
        <v>13832</v>
      </c>
      <c r="G49" s="25"/>
    </row>
    <row r="50" spans="1:7" ht="78.75">
      <c r="A50" s="337"/>
      <c r="B50" s="202">
        <v>6</v>
      </c>
      <c r="C50" s="149" t="s">
        <v>13152</v>
      </c>
      <c r="D50" s="161">
        <v>43964</v>
      </c>
      <c r="E50" s="169" t="s">
        <v>14048</v>
      </c>
      <c r="F50" s="27" t="s">
        <v>13835</v>
      </c>
      <c r="G50" s="25"/>
    </row>
    <row r="51" spans="1:7" ht="45">
      <c r="A51" s="337"/>
      <c r="B51" s="160">
        <v>6.01</v>
      </c>
      <c r="C51" s="149" t="s">
        <v>13152</v>
      </c>
      <c r="D51" s="161">
        <v>43970</v>
      </c>
      <c r="E51" s="169" t="s">
        <v>15522</v>
      </c>
      <c r="F51" s="169" t="s">
        <v>13835</v>
      </c>
      <c r="G51" s="25"/>
    </row>
    <row r="52" spans="1:7" ht="45">
      <c r="A52" s="337"/>
      <c r="B52" s="160">
        <v>6.1</v>
      </c>
      <c r="C52" s="149" t="s">
        <v>13152</v>
      </c>
      <c r="D52" s="161">
        <v>44314</v>
      </c>
      <c r="E52" s="169" t="s">
        <v>15514</v>
      </c>
      <c r="F52" s="169" t="s">
        <v>15043</v>
      </c>
      <c r="G52" s="25"/>
    </row>
    <row r="53" spans="1:7" ht="45">
      <c r="A53" s="337"/>
      <c r="B53" s="160">
        <v>6.2</v>
      </c>
      <c r="C53" s="149" t="s">
        <v>13152</v>
      </c>
      <c r="D53" s="161">
        <v>44678</v>
      </c>
      <c r="E53" s="169" t="s">
        <v>15514</v>
      </c>
      <c r="F53" s="169" t="s">
        <v>15513</v>
      </c>
      <c r="G53" s="25"/>
    </row>
    <row r="54" spans="1:7" ht="45">
      <c r="A54" s="337"/>
      <c r="B54" s="160">
        <v>6.21</v>
      </c>
      <c r="C54" s="149" t="s">
        <v>13152</v>
      </c>
      <c r="D54" s="161">
        <v>44687</v>
      </c>
      <c r="E54" s="169" t="s">
        <v>15523</v>
      </c>
      <c r="F54" s="169" t="s">
        <v>15513</v>
      </c>
      <c r="G54" s="25"/>
    </row>
    <row r="55" spans="1:7" ht="45">
      <c r="A55" s="337"/>
      <c r="B55" s="160">
        <v>6.22</v>
      </c>
      <c r="C55" s="149" t="s">
        <v>13152</v>
      </c>
      <c r="D55" s="275">
        <v>44692</v>
      </c>
      <c r="E55" s="169" t="s">
        <v>15522</v>
      </c>
      <c r="F55" s="169" t="s">
        <v>15513</v>
      </c>
      <c r="G55" s="25"/>
    </row>
    <row r="56" spans="1:7" ht="56.25">
      <c r="A56" s="337"/>
      <c r="B56" s="202">
        <v>6.3</v>
      </c>
      <c r="C56" s="149" t="s">
        <v>13152</v>
      </c>
      <c r="D56" s="275">
        <v>45051</v>
      </c>
      <c r="E56" s="169" t="s">
        <v>15790</v>
      </c>
      <c r="F56" s="169" t="s">
        <v>15571</v>
      </c>
      <c r="G56" s="25"/>
    </row>
    <row r="57" spans="1:7" ht="45">
      <c r="A57" s="337"/>
      <c r="B57" s="160">
        <v>6.31</v>
      </c>
      <c r="C57" s="149" t="s">
        <v>13152</v>
      </c>
      <c r="D57" s="275">
        <v>45072</v>
      </c>
      <c r="E57" s="169" t="s">
        <v>15792</v>
      </c>
      <c r="F57" s="169" t="s">
        <v>15571</v>
      </c>
      <c r="G57" s="25"/>
    </row>
    <row r="58" spans="1:7" ht="13.5" thickBot="1">
      <c r="A58" s="338"/>
      <c r="B58" s="339" t="str">
        <f ca="1">OFFSET(L!$C$1,MATCH("General"&amp;"Cpy",L!$A:$A,0)-1,SL,,)</f>
        <v>© 2023 Responsible Minerals Initiative. All rights reserved.</v>
      </c>
      <c r="C58" s="339"/>
      <c r="D58" s="339"/>
      <c r="E58" s="339"/>
      <c r="F58" s="339"/>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Schulung und Beratung, Vorlagen, Responsible Minerals Assurance Process, konforme Schmelzhütten Liste</v>
      </c>
      <c r="B1" s="100" t="s">
        <v>442</v>
      </c>
    </row>
    <row r="2" spans="1:2" ht="30">
      <c r="A2" s="105" t="str">
        <f ca="1">OFFSET(L!$C$1,MATCH("Instructions"&amp;ADDRESS(ROW(),COLUMN(),4),L!$A:$A,0)-1,SL,,)</f>
        <v>Einführung</v>
      </c>
      <c r="B2" s="100" t="s">
        <v>1299</v>
      </c>
    </row>
    <row r="3" spans="1:2" ht="180">
      <c r="A3" s="102" t="str">
        <f ca="1">OFFSET(L!$C$1,MATCH("Instructions"&amp;ADDRESS(ROW(),COLUMN(),4),L!$A:$A,0)-1,SL,,)</f>
        <v>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v>
      </c>
      <c r="B3" s="100" t="s">
        <v>1300</v>
      </c>
    </row>
    <row r="4" spans="1:2" ht="222.6" customHeight="1">
      <c r="A4" s="102" t="str">
        <f ca="1">OFFSET(L!$C$1,MATCH("Instructions"&amp;ADDRESS(ROW(),COLUMN(),4),L!$A:$A,0)-1,SL,,)</f>
        <v>*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v>
      </c>
      <c r="B4" s="100" t="s">
        <v>1306</v>
      </c>
    </row>
    <row r="5" spans="1:2" ht="15">
      <c r="A5" s="106"/>
      <c r="B5" s="100"/>
    </row>
    <row r="6" spans="1:2" ht="30">
      <c r="A6" s="105" t="str">
        <f ca="1">OFFSET(L!$C$1,MATCH("Instructions"&amp;ADDRESS(ROW(),COLUMN(),4),L!$A:$A,0)-1,SL,,)</f>
        <v>Anleitung zum Ausfüllen von Informationen zu Unternehmen (Zeilen 8 - 22).  Die Kommentare nur in englischer Sprache.</v>
      </c>
      <c r="B6" s="100" t="s">
        <v>1299</v>
      </c>
    </row>
    <row r="7" spans="1:2" ht="15">
      <c r="A7" s="237" t="str">
        <f ca="1">OFFSET(L!$C$1,MATCH("Instructions"&amp;ADDRESS(ROW(),COLUMN(),4),L!$A:$A,0)-1,SL,,)</f>
        <v>Hinweis: Eingaben mit (*) sind Pflichtfelder</v>
      </c>
      <c r="B7" s="100"/>
    </row>
    <row r="8" spans="1:2" ht="30">
      <c r="A8" s="102" t="str">
        <f ca="1">OFFSET(L!$C$1,MATCH("Instructions"&amp;ADDRESS(ROW(),COLUMN(),4),L!$A:$A,0)-1,SL,,)</f>
        <v>1. Geben Sie hier den rechtmäßigen Firmennamen Ihres Unternehmens ein. Bitte verwenden Sie keine Abkürzungen. In diesem Feld haben Sie die Möglichkeit, weitere Geschäftsnamen, DBAs usw. hinzuzufügen.</v>
      </c>
      <c r="B8" s="100"/>
    </row>
    <row r="9" spans="1:2" ht="405.6" customHeight="1">
      <c r="A9" s="146" t="str">
        <f ca="1">OFFSET(L!$C$1,MATCH("Instructions"&amp;ADDRESS(ROW(),COLUMN(),4),L!$A:$A,0)-1,SL,,)</f>
        <v>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v>
      </c>
      <c r="B9" s="100" t="s">
        <v>1298</v>
      </c>
    </row>
    <row r="10" spans="1:2" ht="36" customHeight="1">
      <c r="A10" s="102" t="str">
        <f ca="1">OFFSET(L!$C$1,MATCH("Instructions"&amp;ADDRESS(ROW(),COLUMN(),4),L!$A:$A,0)-1,SL,,)</f>
        <v>3.Geben sie ihre eindeutige Firmenidentifikationsnummer (DUNS Nummer, Steuernummer, Kunden-spezifische Kennung, etc.) ein</v>
      </c>
      <c r="B10" s="100"/>
    </row>
    <row r="11" spans="1:2" ht="35.25" customHeight="1">
      <c r="A11" s="102" t="str">
        <f ca="1">OFFSET(L!$C$1,MATCH("Instructions"&amp;ADDRESS(ROW(),COLUMN(),4),L!$A:$A,0)-1,SL,,)</f>
        <v>4. Geben Sie die Quelle für die eindeutige Kennung oder Code ( "DUNS",  "MWST","Kunde", etc. ) an.</v>
      </c>
      <c r="B11" s="100"/>
    </row>
    <row r="12" spans="1:2" ht="30">
      <c r="A12" s="102" t="str">
        <f ca="1">OFFSET(L!$C$1,MATCH("Instructions"&amp;ADDRESS(ROW(),COLUMN(),4),L!$A:$A,0)-1,SL,,)</f>
        <v>5. Geben Sie Ihre vollständige Firmenanschrift an (Straße, Stadt, Postleitzahl,  Bundesland).  Dieses Feld ist optional.</v>
      </c>
      <c r="B12" s="100" t="s">
        <v>1299</v>
      </c>
    </row>
    <row r="13" spans="1:2" ht="33.75" customHeight="1">
      <c r="A13" s="102" t="str">
        <f ca="1">OFFSET(L!$C$1,MATCH("Instructions"&amp;ADDRESS(ROW(),COLUMN(),4),L!$A:$A,0)-1,SL,,)</f>
        <v>6. Geben Sie den Namen der Kontaktperson zum Inhalt der Erklärung an. Dies ist ein obligatorisches Feld.</v>
      </c>
      <c r="B13" s="100"/>
    </row>
    <row r="14" spans="1:2" ht="45">
      <c r="A14" s="102" t="str">
        <f ca="1">OFFSET(L!$C$1,MATCH("Instructions"&amp;ADDRESS(ROW(),COLUMN(),4),L!$A:$A,0)-1,SL,,)</f>
        <v>7. Geben Sie die E mail-Adresse der Kontaktperson an. Wenn eine E- mail-adresse nicht verfügbar ist, bitte "Nicht verfügbar" oder "n/a." auswählen. Ein leeres Feld kann dazu führen, dass ein Fehler in der Anwendung auftritt. Dies ist ein obligatorisches Feld.</v>
      </c>
      <c r="B14" s="100"/>
    </row>
    <row r="15" spans="1:2" ht="25.5" customHeight="1">
      <c r="A15" s="102" t="str">
        <f ca="1">OFFSET(L!$C$1,MATCH("Instructions"&amp;ADDRESS(ROW(),COLUMN(),4),L!$A:$A,0)-1,SL,,)</f>
        <v>8. Geben Sie die Telefonnummer des Kontakts an. Dies ist ein obligatorisches Feld.</v>
      </c>
      <c r="B15" s="100"/>
    </row>
    <row r="16" spans="1:2" ht="45">
      <c r="A16" s="102" t="str">
        <f ca="1">OFFSET(L!$C$1,MATCH("Instructions"&amp;ADDRESS(ROW(),COLUMN(),4),L!$A:$A,0)-1,SL,,)</f>
        <v>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v>
      </c>
      <c r="B16" s="100"/>
    </row>
    <row r="17" spans="1:2" ht="15">
      <c r="A17" s="102" t="str">
        <f ca="1">OFFSET(L!$C$1,MATCH("Instructions"&amp;ADDRESS(ROW(),COLUMN(),4),L!$A:$A,0)-1,SL,,)</f>
        <v>10. Geben Sie den Titel für den Namen des Bevollmächtigten an. Dieses Feld ist optional.</v>
      </c>
      <c r="B17" s="100"/>
    </row>
    <row r="18" spans="1:2" ht="45">
      <c r="A18" s="102" t="str">
        <f ca="1">OFFSET(L!$C$1,MATCH("Instructions"&amp;ADDRESS(ROW(),COLUMN(),4),L!$A:$A,0)-1,SL,,)</f>
        <v>11. Geben Sie die E-mail-Adresse der bevollmächtigten Person an. Wenn eine E-mail Adresse nicht verfügbar ist, bitte "Nicht verfügbar" oder "n/a." auswählen. Ein leeres Feld kann dazu führen, dass ein Fehler in der Anwendung auftritt. Dies ist ein obligatorisches Feld.</v>
      </c>
      <c r="B18" s="100"/>
    </row>
    <row r="19" spans="1:2" ht="15">
      <c r="A19" s="102" t="str">
        <f ca="1">OFFSET(L!$C$1,MATCH("Instructions"&amp;ADDRESS(ROW(),COLUMN(),4),L!$A:$A,0)-1,SL,,)</f>
        <v>12. Fügen Sie die Telefonnummer der freigabeberechtigten Person ein. Das Ausfüllen dieses Feldes ist freiwillig.</v>
      </c>
      <c r="B19" s="100"/>
    </row>
    <row r="20" spans="1:2" ht="33.75" customHeight="1">
      <c r="A20" s="102" t="str">
        <f ca="1">OFFSET(L!$C$1,MATCH("Instructions"&amp;ADDRESS(ROW(),COLUMN(),4),L!$A:$A,0)-1,SL,,)</f>
        <v>13. Bitte geben Sie das Datum der Fertigstellung für dieses Formblatt mit dem Format TT-MMM-JJJJ ein. Dies ist ein obligatorisches Feld.</v>
      </c>
      <c r="B20" s="100"/>
    </row>
    <row r="21" spans="1:2" ht="30">
      <c r="A21" s="102" t="str">
        <f ca="1">OFFSET(L!$C$1,MATCH("Instructions"&amp;ADDRESS(ROW(),COLUMN(),4),L!$A:$A,0)-1,SL,,)</f>
        <v>14. Zum Beispiel kann der Benutzer die Datei unter dem Namen speichern: companyname-datum.xls (Datum im Format JJJJ-MM-TT).</v>
      </c>
      <c r="B21" s="100" t="s">
        <v>1299</v>
      </c>
    </row>
    <row r="22" spans="1:2" ht="15">
      <c r="A22" s="106"/>
      <c r="B22" s="100"/>
    </row>
    <row r="23" spans="1:2" ht="30">
      <c r="A23" s="105" t="str">
        <f ca="1">OFFSET(L!$C$1,MATCH("Instructions"&amp;ADDRESS(ROW(),COLUMN(),4),L!$A:$A,0)-1,SL,,)</f>
        <v>Anweisungen zum Ausfüllen der acht Fragen zur Sorgfaltsprüfung (Zeilen 24 - 71).
Bitte geben Sie Ihre Antworten nur auf ENGLISCH</v>
      </c>
      <c r="B23" s="100" t="s">
        <v>1299</v>
      </c>
    </row>
    <row r="24" spans="1:2" ht="80.650000000000006" customHeight="1">
      <c r="A24" s="102" t="str">
        <f ca="1">OFFSET(L!$C$1,MATCH("Instructions"&amp;ADDRESS(ROW(),COLUMN(),4),L!$A:$A,0)-1,SL,,)</f>
        <v>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v>
      </c>
      <c r="B24" s="100" t="s">
        <v>1302</v>
      </c>
    </row>
    <row r="25" spans="1:2" ht="72" customHeight="1">
      <c r="A25" s="102" t="str">
        <f ca="1">OFFSET(L!$C$1,MATCH("Instructions"&amp;ADDRESS(ROW(),COLUMN(),4),L!$A:$A,0)-1,SL,,)</f>
        <v>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v>
      </c>
      <c r="B25" s="100" t="s">
        <v>1299</v>
      </c>
    </row>
    <row r="26" spans="1:2" ht="280.89999999999998" customHeight="1">
      <c r="A26" s="102" t="str">
        <f ca="1">OFFSET(L!$C$1,MATCH("Instructions"&amp;ADDRESS(ROW(),COLUMN(),4),L!$A:$A,0)-1,SL,,)</f>
        <v>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v>
      </c>
      <c r="B26" s="100" t="s">
        <v>1299</v>
      </c>
    </row>
    <row r="27" spans="1:2" ht="30">
      <c r="A27" s="102" t="str">
        <f ca="1">OFFSET(L!$C$1,MATCH("Instructions"&amp;ADDRESS(ROW(),COLUMN(),4),L!$A:$A,0)-1,SL,,)</f>
        <v>Manche Unternehmen benötigen eine Begründung für eine "Nein" -Antwort im Kommentarfeld</v>
      </c>
      <c r="B27" s="100" t="s">
        <v>1299</v>
      </c>
    </row>
    <row r="28" spans="1:2" ht="247.5" customHeight="1">
      <c r="A28" s="102" t="str">
        <f ca="1">OFFSET(L!$C$1,MATCH("Instructions"&amp;ADDRESS(ROW(),COLUMN(),4),L!$A:$A,0)-1,SL,,)</f>
        <v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v>
      </c>
      <c r="B28" s="100"/>
    </row>
    <row r="29" spans="1:2" ht="157.15" customHeight="1">
      <c r="A29" s="102" t="str">
        <f ca="1">OFFSET(L!$C$1,MATCH("Instructions"&amp;ADDRESS(ROW(),COLUMN(),4),L!$A:$A,0)-1,SL,,)</f>
        <v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v>
      </c>
      <c r="B29" s="100" t="s">
        <v>1299</v>
      </c>
    </row>
    <row r="30" spans="1:2" ht="181.9" customHeight="1">
      <c r="A30" s="102" t="str">
        <f ca="1">OFFSET(L!$C$1,MATCH("Instructions"&amp;ADDRESS(ROW(),COLUMN(),4),L!$A:$A,0)-1,SL,,)</f>
        <v>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v>
      </c>
      <c r="B30" s="100"/>
    </row>
    <row r="31" spans="1:2" ht="150">
      <c r="A31" s="102" t="str">
        <f ca="1">OFFSET(L!$C$1,MATCH("Instructions"&amp;ADDRESS(ROW(),COLUMN(),4),L!$A:$A,0)-1,SL,,)</f>
        <v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v>
      </c>
      <c r="B31" s="100" t="s">
        <v>1299</v>
      </c>
    </row>
    <row r="32" spans="1:2" ht="234.6" customHeight="1">
      <c r="A32" s="102" t="str">
        <f ca="1">OFFSET(L!$C$1,MATCH("Instructions"&amp;ADDRESS(ROW(),COLUMN(),4),L!$A:$A,0)-1,SL,,)</f>
        <v>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v>
      </c>
      <c r="B32" s="100" t="s">
        <v>1302</v>
      </c>
    </row>
    <row r="33" spans="1:2" ht="60">
      <c r="A33" s="102" t="str">
        <f ca="1">OFFSET(L!$C$1,MATCH("Instructions"&amp;ADDRESS(ROW(),COLUMN(),4),L!$A:$A,0)-1,SL,,)</f>
        <v>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v>
      </c>
      <c r="B33" s="100"/>
    </row>
    <row r="34" spans="1:2" ht="60">
      <c r="A34" s="102" t="str">
        <f ca="1">OFFSET(L!$C$1,MATCH("Instructions"&amp;ADDRESS(ROW(),COLUMN(),4),L!$A:$A,0)-1,SL,,)</f>
        <v>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v>
      </c>
      <c r="B34" s="100" t="s">
        <v>1299</v>
      </c>
    </row>
    <row r="35" spans="1:2" ht="21" customHeight="1">
      <c r="A35" s="102" t="str">
        <f ca="1">OFFSET(L!$C$1,MATCH("Instructions"&amp;ADDRESS(ROW(),COLUMN(),4),L!$A:$A,0)-1,SL,,)</f>
        <v>Geben Sie, falls notwendig, Anmerkungen im Kommentarbereich ein, die für eine Klarstellung ihrer Antwort hilfreich sind.</v>
      </c>
      <c r="B35" s="100"/>
    </row>
    <row r="36" spans="1:2" ht="15">
      <c r="A36" s="106"/>
      <c r="B36" s="100"/>
    </row>
    <row r="37" spans="1:2" ht="45">
      <c r="A37" s="105" t="str">
        <f ca="1">OFFSET(L!$C$1,MATCH("Instructions"&amp;ADDRESS(ROW(),COLUMN(),4),L!$A:$A,0)-1,SL,,)</f>
        <v>Instruktionen zur Beantwortung der Fragen A. – H. (Reihen 75–89).  Die Fragen A. bis H. müssen beantwortet werden, wenn die Antwort auf Frage 1 für irgendein Metall „Ja“ lautet.
Bitte geben Sie Ihre Antworten nur auf ENGLISCH</v>
      </c>
      <c r="B37" s="100" t="s">
        <v>1299</v>
      </c>
    </row>
    <row r="38" spans="1:2" ht="135">
      <c r="A38" s="102" t="str">
        <f ca="1">OFFSET(L!$C$1,MATCH("Instructions"&amp;ADDRESS(ROW(),COLUMN(),4),L!$A:$A,0)-1,SL,,)</f>
        <v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v>
      </c>
      <c r="B38" s="100" t="s">
        <v>1301</v>
      </c>
    </row>
    <row r="39" spans="1:2" ht="60">
      <c r="A39" s="102" t="str">
        <f ca="1">OFFSET(L!$C$1,MATCH("Instructions"&amp;ADDRESS(ROW(),COLUMN(),4),L!$A:$A,0)-1,SL,,)</f>
        <v>A. Diese Erklärung dient der Beurteilung, ob ein Unternehmen eine konfliktfreie Beschaffungsrichtlinie hat. Die Antwort auf diese Frage muss „Ja“ oder „Nein“ lauten. Anmerkungen sollten in einem Frage-/Kommentar-Feld festgehalten werden. 
Diese Frage muss beantwortet werden.</v>
      </c>
      <c r="B39" s="100"/>
    </row>
    <row r="40" spans="1:2" ht="65.650000000000006" customHeight="1">
      <c r="A40" s="102" t="str">
        <f ca="1">OFFSET(L!$C$1,MATCH("Instructions"&amp;ADDRESS(ROW(),COLUMN(),4),L!$A:$A,0)-1,SL,,)</f>
        <v>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v>
      </c>
      <c r="B40" s="100"/>
    </row>
    <row r="41" spans="1:2" ht="75">
      <c r="A41" s="102" t="str">
        <f ca="1">OFFSET(L!$C$1,MATCH("Instructions"&amp;ADDRESS(ROW(),COLUMN(),4),L!$A:$A,0)-1,SL,,)</f>
        <v>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v>
      </c>
      <c r="B41" s="100" t="s">
        <v>1304</v>
      </c>
    </row>
    <row r="42" spans="1:2" ht="210">
      <c r="A42" s="102" t="str">
        <f ca="1">OFFSET(L!$C$1,MATCH("Instructions"&amp;ADDRESS(ROW(),COLUMN(),4),L!$A:$A,0)-1,SL,,)</f>
        <v>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v>
      </c>
      <c r="B42" s="100" t="s">
        <v>1302</v>
      </c>
    </row>
    <row r="43" spans="1:2" ht="165">
      <c r="A43" s="102" t="str">
        <f ca="1">OFFSET(L!$C$1,MATCH("Instructions"&amp;ADDRESS(ROW(),COLUMN(),4),L!$A:$A,0)-1,SL,,)</f>
        <v>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v>
      </c>
      <c r="B43" s="100" t="s">
        <v>1303</v>
      </c>
    </row>
    <row r="44" spans="1:2" ht="135">
      <c r="A44" s="102" t="str">
        <f ca="1">OFFSET(L!$C$1,MATCH("Instructions"&amp;ADDRESS(ROW(),COLUMN(),4),L!$A:$A,0)-1,SL,,)</f>
        <v>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v>
      </c>
      <c r="B44" s="100" t="s">
        <v>1299</v>
      </c>
    </row>
    <row r="45" spans="1:2" ht="120">
      <c r="A45" s="102" t="str">
        <f ca="1">OFFSET(L!$C$1,MATCH("Instructions"&amp;ADDRESS(ROW(),COLUMN(),4),L!$A:$A,0)-1,SL,,)</f>
        <v>G. Diese Frage dient der Bestimmung, ob das Prüfungsverfahren eines Unternehmens ein Abhilfemaßnahmen-Management umfasst. Die Antwort auf diese Frage muss „Ja“ oder „Nein“ lauten. Anmerkungen sollten in einem Frage/Kommentar-Feld festgehalten werden. 
Diese Frage muss beantwortet werden.</v>
      </c>
      <c r="B45" s="100" t="s">
        <v>1300</v>
      </c>
    </row>
    <row r="46" spans="1:2" ht="85.5" customHeight="1">
      <c r="A46" s="102" t="str">
        <f ca="1">OFFSET(L!$C$1,MATCH("Instructions"&amp;ADDRESS(ROW(),COLUMN(),4),L!$A:$A,0)-1,SL,,)</f>
        <v>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v>
      </c>
      <c r="B46" s="100" t="s">
        <v>1299</v>
      </c>
    </row>
    <row r="47" spans="1:2" ht="15">
      <c r="A47" s="106"/>
      <c r="B47" s="100"/>
    </row>
    <row r="48" spans="1:2" ht="30">
      <c r="A48" s="105" t="str">
        <f ca="1">OFFSET(L!$C$1,MATCH("Instructions"&amp;ADDRESS(ROW(),COLUMN(),4),L!$A:$A,0)-1,SL,,)</f>
        <v>Anleitung zum Ausfüllen des Reiters "Smelter List". Bitte machen Sie ihre Angaben nur in englischer Sprache.</v>
      </c>
      <c r="B48" s="100" t="s">
        <v>1299</v>
      </c>
    </row>
    <row r="49" spans="1:2" ht="22.5" customHeight="1">
      <c r="A49" s="237" t="str">
        <f ca="1">OFFSET(L!$C$1,MATCH("Instructions"&amp;ADDRESS(ROW(),COLUMN(),4),L!$A:$A,0)-1,SL,,)</f>
        <v>Hinweis: Spalten mit (*) sind Pflichtfelder</v>
      </c>
      <c r="B49" s="100"/>
    </row>
    <row r="50" spans="1:2" ht="60">
      <c r="A50" s="102" t="str">
        <f ca="1">OFFSET(L!$C$1,MATCH("Instructions"&amp;ADDRESS(ROW(),COLUMN(),4),L!$A:$A,0)-1,SL,,)</f>
        <v>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v>
      </c>
      <c r="B50" s="100" t="s">
        <v>1298</v>
      </c>
    </row>
    <row r="51" spans="1:2" ht="51" customHeight="1">
      <c r="A51" s="102" t="str">
        <f ca="1">OFFSET(L!$C$1,MATCH("Instructions"&amp;ADDRESS(ROW(),COLUMN(),4),L!$A:$A,0)-1,SL,,)</f>
        <v>1. Eingabespalte Schmelzhüttenidentifizierung – Wenn Sie die Schmelzhüttenidentifizierungsnummer kennen, geben Sie die Nummer in Spalte A ein (Spalten B, C, E, F, G, I und J füllen sich automatisch aus).  Spalte A füllt sich nicht automatisch aus.</v>
      </c>
      <c r="B51" s="100" t="s">
        <v>1299</v>
      </c>
    </row>
    <row r="52" spans="1:2" ht="44.65" customHeight="1">
      <c r="A52" s="102" t="str">
        <f ca="1">OFFSET(L!$C$1,MATCH("Instructions"&amp;ADDRESS(ROW(),COLUMN(),4),L!$A:$A,0)-1,SL,,)</f>
        <v>2.  Metall ( * ) - Verwenden Sie das Pull-down-Menü, um das Metall auszuwählen,  für welches Sie Informationen über die Schmelzhütte eingeben. Dies ist ein Pflichteingabefeld.</v>
      </c>
      <c r="B52" s="100"/>
    </row>
    <row r="53" spans="1:2" ht="79.150000000000006" customHeight="1">
      <c r="A53" s="156" t="str">
        <f ca="1">OFFSET(L!$C$1,MATCH("Instructions"&amp;ADDRESS(ROW(),COLUMN(),4),L!$A:$A,0)-1,SL,,)</f>
        <v>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v>
      </c>
      <c r="B53" s="100" t="s">
        <v>1299</v>
      </c>
    </row>
    <row r="54" spans="1:2" ht="60">
      <c r="A54" s="102" t="str">
        <f ca="1">OFFSET(L!$C$1,MATCH("Instructions"&amp;ADDRESS(ROW(),COLUMN(),4),L!$A:$A,0)-1,SL,,)</f>
        <v>4. Schmelzhütten Name ( 1 ) - Füllen Sie den Namen der Schmelzhütte in Spalte C ein, wenn Sie "Smelter not listed" ausgewählt haben.  Dieses Feld wird automatisch ausgefüllt, wenn eine Schmelzhütte in Spalte C ausgewählt wurde. Dies ist ein Pflichteingabefeld.</v>
      </c>
      <c r="B54" s="100" t="s">
        <v>1298</v>
      </c>
    </row>
    <row r="55" spans="1:2" ht="75">
      <c r="A55" s="102" t="str">
        <f ca="1">OFFSET(L!$C$1,MATCH("Instructions"&amp;ADDRESS(ROW(),COLUMN(),4),L!$A:$A,0)-1,SL,,)</f>
        <v>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v>
      </c>
      <c r="B55" s="100" t="s">
        <v>1304</v>
      </c>
    </row>
    <row r="56" spans="1:2" ht="60">
      <c r="A56" s="102" t="str">
        <f ca="1">OFFSET(L!$C$1,MATCH("Instructions"&amp;ADDRESS(ROW(),COLUMN(),4),L!$A:$A,0)-1,SL,,)</f>
        <v>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v>
      </c>
      <c r="B56" s="100" t="s">
        <v>1298</v>
      </c>
    </row>
    <row r="57" spans="1:2" ht="60">
      <c r="A57" s="102" t="str">
        <f ca="1">OFFSET(L!$C$1,MATCH("Instructions"&amp;ADDRESS(ROW(),COLUMN(),4),L!$A:$A,0)-1,SL,,)</f>
        <v>7. Quelle der Schmelzhütten Identifikationsnummer - das ist die Quelle der Schmelzhütte, welche  in der Spalte F eingegeben wurde. Wenn eine Schmelzhütte aus der Drop-down Box in Spalte C ausgewählt wurde, dann wird dieses Feld automatisch aufgefüllt werden.</v>
      </c>
      <c r="B57" s="100" t="s">
        <v>1298</v>
      </c>
    </row>
    <row r="58" spans="1:2" ht="60">
      <c r="A58" s="102" t="str">
        <f ca="1">OFFSET(L!$C$1,MATCH("Instructions"&amp;ADDRESS(ROW(),COLUMN(),4),L!$A:$A,0)-1,SL,,)</f>
        <v>8. Straße der Schmelzhütte – Geben Sie den Straßennamen des Schmelzhüttenstandortes an. Das Ausfüllen dieses Feldes ist freiwillig.</v>
      </c>
      <c r="B58" s="100" t="s">
        <v>1298</v>
      </c>
    </row>
    <row r="59" spans="1:2" ht="30">
      <c r="A59" s="102" t="str">
        <f ca="1">OFFSET(L!$C$1,MATCH("Instructions"&amp;ADDRESS(ROW(),COLUMN(),4),L!$A:$A,0)-1,SL,,)</f>
        <v>9. Ort der Schmelzhütte – Geben Sie den Namen des Ortes an, in dem sich die Schmelzhütte befindet. Das Ausfüllen dieses Feldes ist freiwillig.</v>
      </c>
      <c r="B59" s="100" t="s">
        <v>1299</v>
      </c>
    </row>
    <row r="60" spans="1:2" ht="45" customHeight="1">
      <c r="A60" s="102" t="str">
        <f ca="1">OFFSET(L!$C$1,MATCH("Instructions"&amp;ADDRESS(ROW(),COLUMN(),4),L!$A:$A,0)-1,SL,,)</f>
        <v>10. Standort der Schmelzhütte: Ggf. Bundesland/Region/Provinz – Geben Sie das Bundesland oder die Region/Provinz des Schmelzhüttenstandortes an. Das Ausfüllen dieses Feldes ist freiwillig.</v>
      </c>
      <c r="B60" s="100" t="s">
        <v>1302</v>
      </c>
    </row>
    <row r="61" spans="1:2" ht="195">
      <c r="A61" s="102" t="str">
        <f ca="1">OFFSET(L!$C$1,MATCH("Instructions"&amp;ADDRESS(ROW(),COLUMN(),4),L!$A:$A,0)-1,SL,,)</f>
        <v>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v>
      </c>
      <c r="B61" s="100" t="s">
        <v>1302</v>
      </c>
    </row>
    <row r="62" spans="1:2" ht="60">
      <c r="A62" s="102" t="str">
        <f ca="1">OFFSET(L!$C$1,MATCH("Instructions"&amp;ADDRESS(ROW(),COLUMN(),4),L!$A:$A,0)-1,SL,,)</f>
        <v>12. Schmelzhütten Kontakt-E-Mail - Tragen Sie die E-mail Adresse des Ansprechpartners der Schmelzhütte ein. Zum Beispiel:   John.Smith@SmelterXXX.com. Lesen Sie bitte die Anweisungen für die Eingabe des Ansprechpartners vor der Eingabe des Kontakt Namens.</v>
      </c>
      <c r="B62" s="100" t="s">
        <v>1298</v>
      </c>
    </row>
    <row r="63" spans="1:2" ht="125.45" customHeight="1">
      <c r="A63" s="102" t="str">
        <f ca="1">OFFSET(L!$C$1,MATCH("Instructions"&amp;ADDRESS(ROW(),COLUMN(),4),L!$A:$A,0)-1,SL,,)</f>
        <v>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v>
      </c>
      <c r="B63" s="100" t="s">
        <v>1298</v>
      </c>
    </row>
    <row r="64" spans="1:2" ht="136.15" customHeight="1">
      <c r="A64" s="102" t="str">
        <f ca="1">OFFSET(L!$C$1,MATCH("Instructions"&amp;ADDRESS(ROW(),COLUMN(),4),L!$A:$A,0)-1,SL,,)</f>
        <v>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v>
      </c>
      <c r="B64" s="100"/>
    </row>
    <row r="65" spans="1:2" ht="90">
      <c r="A65" s="102" t="str">
        <f ca="1">OFFSET(L!$C$1,MATCH("Instructions"&amp;ADDRESS(ROW(),COLUMN(),4),L!$A:$A,0)-1,SL,,)</f>
        <v>15. Zeigt an, ob die Schmelzhütte seine Materialien für seine(n) Schmelzprozess(e) ausschließlich aus Recycling oder Schrott bezieht. Diese Frage ist optional.  Erlaubte Antworten auf diese Frage sind:
- Ja
- Nein
- Unbekannt</v>
      </c>
      <c r="B65" s="100"/>
    </row>
    <row r="66" spans="1:2" ht="110.25" customHeight="1">
      <c r="A66" s="102" t="str">
        <f ca="1">OFFSET(L!$C$1,MATCH("Instructions"&amp;ADDRESS(ROW(),COLUMN(),4),L!$A:$A,0)-1,SL,,)</f>
        <v xml:space="preserve">16. Anmerkungen - geben Sie Ihre Anmerkungen zu den Schmelzhütten in das Textfeld ein. Beispiel: Smelter is being acquired by Company YYY </v>
      </c>
      <c r="B66" s="100"/>
    </row>
    <row r="67" spans="1:2" ht="15">
      <c r="A67" s="107"/>
      <c r="B67" s="100"/>
    </row>
    <row r="68" spans="1:2" ht="34.5" customHeight="1">
      <c r="A68" s="105" t="str">
        <f ca="1">OFFSET(L!$C$1,MATCH("Instructions"&amp;ADDRESS(ROW(),COLUMN(),4),L!$A:$A,0)-1,SL,,)</f>
        <v>Allgemeine Geschäftsbedingungen (AGB)</v>
      </c>
      <c r="B68" s="100"/>
    </row>
    <row r="69" spans="1:2" ht="15">
      <c r="A69" s="107"/>
      <c r="B69" s="100"/>
    </row>
    <row r="70" spans="1:2" ht="80.650000000000006" customHeight="1">
      <c r="A70" s="105" t="str">
        <f ca="1">OFFSET(L!$C$1,MATCH("Instructions"&amp;ADDRESS(ROW(),COLUMN(),4),L!$A:$A,0)-1,SL,,)</f>
        <v>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v>
      </c>
      <c r="B70" s="100" t="s">
        <v>1299</v>
      </c>
    </row>
    <row r="71" spans="1:2" ht="93.6" customHeight="1">
      <c r="A71" s="237" t="str">
        <f ca="1">OFFSET(L!$C$1,MATCH("Instructions"&amp;ADDRESS(ROW(),COLUMN(),4),L!$A:$A,0)-1,SL,,)</f>
        <v>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v>
      </c>
      <c r="B71" s="100" t="s">
        <v>1305</v>
      </c>
    </row>
    <row r="72" spans="1:2" ht="155.44999999999999" customHeight="1">
      <c r="A72" s="237" t="str">
        <f ca="1">OFFSET(L!$C$1,MATCH("Instructions"&amp;ADDRESS(ROW(),COLUMN(),4),L!$A:$A,0)-1,SL,,)</f>
        <v>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v>
      </c>
      <c r="B72" s="100" t="s">
        <v>1303</v>
      </c>
    </row>
    <row r="73" spans="1:2" ht="75">
      <c r="A73" s="237" t="str">
        <f ca="1">OFFSET(L!$C$1,MATCH("Instructions"&amp;ADDRESS(ROW(),COLUMN(),4),L!$A:$A,0)-1,SL,,)</f>
        <v>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55" zoomScaleNormal="55" zoomScalePageLayoutView="80" workbookViewId="0">
      <pane ySplit="2" topLeftCell="A6" activePane="bottomLeft" state="frozen"/>
      <selection activeCell="A4" sqref="A4"/>
      <selection pane="bottomLeft" activeCell="C7" sqref="C7"/>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46"/>
      <c r="B1" s="347"/>
      <c r="C1" s="347"/>
      <c r="D1" s="348"/>
    </row>
    <row r="2" spans="1:5" ht="71.25" customHeight="1">
      <c r="A2" s="74"/>
      <c r="B2" s="137" t="str">
        <f ca="1">OFFSET(L!$C$1,MATCH("Definitions"&amp;ADDRESS(ROW(),COLUMN(),4),L!$A:$A,0)-1,SL,,)</f>
        <v>Posten</v>
      </c>
      <c r="C2" s="137" t="str">
        <f ca="1">OFFSET(L!$C$1,MATCH("Definitions"&amp;ADDRESS(ROW(),COLUMN(),4),L!$A:$A,0)-1,SL,,)</f>
        <v>Definition</v>
      </c>
      <c r="D2" s="350"/>
      <c r="E2" s="101"/>
    </row>
    <row r="3" spans="1:5" ht="64.150000000000006" customHeight="1">
      <c r="A3" s="74"/>
      <c r="B3" s="63" t="str">
        <f ca="1">OFFSET(L!$C$1,MATCH("Definitions"&amp;ADDRESS(ROW(),COLUMN(),4),L!$A:$A,0)-1,SL,,)</f>
        <v>3TG</v>
      </c>
      <c r="C3" s="63" t="str">
        <f ca="1">OFFSET(L!$C$1,MATCH("Definitions"&amp;ADDRESS(ROW(),COLUMN(),4),L!$A:$A,0)-1,SL,,)</f>
        <v>Zinn, Tantal, Wolfram, Gold</v>
      </c>
      <c r="D3" s="350"/>
      <c r="E3" s="100" t="s">
        <v>1307</v>
      </c>
    </row>
    <row r="4" spans="1:5" ht="63.75" customHeight="1">
      <c r="A4" s="74"/>
      <c r="B4" s="63" t="str">
        <f ca="1">OFFSET(L!$C$1,MATCH("Definitions"&amp;ADDRESS(ROW(),COLUMN(),4),L!$A:$A,0)-1,SL,,)</f>
        <v>Bevollmächtigter</v>
      </c>
      <c r="C4" s="63" t="str">
        <f ca="1">OFFSET(L!$C$1,MATCH("Definitions"&amp;ADDRESS(ROW(),COLUMN(),4),L!$A:$A,0)-1,SL,,)</f>
        <v>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v>
      </c>
      <c r="D4" s="350"/>
      <c r="E4" s="100"/>
    </row>
    <row r="5" spans="1:5" ht="75">
      <c r="A5" s="74"/>
      <c r="B5" s="63" t="str">
        <f ca="1">OFFSET(L!$C$1,MATCH("Definitions"&amp;ADDRESS(ROW(),COLUMN(),4),L!$A:$A,0)-1,SL,,)</f>
        <v>Konflikt- und Hochrisikogebiete (CAHRA)</v>
      </c>
      <c r="C5" s="63" t="str">
        <f ca="1">OFFSET(L!$C$1,MATCH("Definitions"&amp;ADDRESS(ROW(),COLUMN(),4),L!$A:$A,0)-1,SL,,)</f>
        <v>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v>
      </c>
      <c r="D5" s="350"/>
      <c r="E5" s="100"/>
    </row>
    <row r="6" spans="1:5" ht="151.15" customHeight="1">
      <c r="A6" s="74"/>
      <c r="B6" s="63" t="str">
        <f ca="1">OFFSET(L!$C$1,MATCH("Definitions"&amp;ADDRESS(ROW(),COLUMN(),4),L!$A:$A,0)-1,SL,,)</f>
        <v>Konfliktmineral</v>
      </c>
      <c r="C6" s="63" t="str">
        <f ca="1">OFFSET(L!$C$1,MATCH("Definitions"&amp;ADDRESS(ROW(),COLUMN(),4),L!$A:$A,0)-1,SL,,)</f>
        <v>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v>
      </c>
      <c r="D6" s="350"/>
      <c r="E6" s="100" t="s">
        <v>1308</v>
      </c>
    </row>
    <row r="7" spans="1:5" ht="105.6" customHeight="1">
      <c r="A7" s="74"/>
      <c r="B7" s="63" t="str">
        <f ca="1">OFFSET(L!$C$1,MATCH("Definitions"&amp;ADDRESS(ROW(),COLUMN(),4),L!$A:$A,0)-1,SL,,)</f>
        <v>umfassendes Land(er)</v>
      </c>
      <c r="C7" s="63" t="str">
        <f ca="1">OFFSET(L!$C$1,MATCH("Definitions"&amp;ADDRESS(ROW(),COLUMN(),4),L!$A:$A,0)-1,SL,,)</f>
        <v>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v>
      </c>
      <c r="D7" s="350"/>
      <c r="E7" s="100" t="s">
        <v>1308</v>
      </c>
    </row>
    <row r="8" spans="1:5" ht="135">
      <c r="A8" s="74"/>
      <c r="B8" s="63" t="str">
        <f ca="1">OFFSET(L!$C$1,MATCH("Definitions"&amp;ADDRESS(ROW(),COLUMN(),4),L!$A:$A,0)-1,SL,,)</f>
        <v>Erklärung Anwendungsbereich oder Klasse</v>
      </c>
      <c r="C8" s="63" t="str">
        <f ca="1">OFFSET(L!$C$1,MATCH("Definitions"&amp;ADDRESS(ROW(),COLUMN(),4),L!$A:$A,0)-1,SL,,)</f>
        <v>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v>
      </c>
      <c r="D8" s="350"/>
      <c r="E8" s="100" t="s">
        <v>1311</v>
      </c>
    </row>
    <row r="9" spans="1:5" ht="60">
      <c r="A9" s="74"/>
      <c r="B9" s="63" t="str">
        <f ca="1">OFFSET(L!$C$1,MATCH("Definitions"&amp;ADDRESS(ROW(),COLUMN(),4),L!$A:$A,0)-1,SL,,)</f>
        <v>Dodd-Frank</v>
      </c>
      <c r="C9" s="63" t="str">
        <f ca="1">OFFSET(L!$C$1,MATCH("Definitions"&amp;ADDRESS(ROW(),COLUMN(),4),L!$A:$A,0)-1,SL,,)</f>
        <v>2010 US Gesetzgebung, Dodd-Frank-Walls Street Reform and Consumer Protection Art, Section 1502 ("Dodd-Frank") (http://www.sec.gov/about/laws/wallstreetreform-cpa.pdf)</v>
      </c>
      <c r="D9" s="350"/>
      <c r="E9" s="100" t="s">
        <v>1308</v>
      </c>
    </row>
    <row r="10" spans="1:5" ht="45">
      <c r="A10" s="74"/>
      <c r="B10" s="63" t="str">
        <f ca="1">OFFSET(L!$C$1,MATCH("Definitions"&amp;ADDRESS(ROW(),COLUMN(),4),L!$A:$A,0)-1,SL,,)</f>
        <v>DRK</v>
      </c>
      <c r="C10" s="63" t="str">
        <f ca="1">OFFSET(L!$C$1,MATCH("Definitions"&amp;ADDRESS(ROW(),COLUMN(),4),L!$A:$A,0)-1,SL,,)</f>
        <v>Demokratische Republik Kongo</v>
      </c>
      <c r="D10" s="350"/>
      <c r="E10" s="100" t="s">
        <v>1307</v>
      </c>
    </row>
    <row r="11" spans="1:5" ht="75" hidden="1">
      <c r="A11" s="74"/>
      <c r="B11" s="63" t="str">
        <f ca="1">OFFSET(L!$C$1,MATCH("Definitions"&amp;ADDRESS(ROW(),COLUMN(),4),L!$A:$A,0)-1,SL,,)</f>
        <v>DRK Konflikt-Frei</v>
      </c>
      <c r="C11" s="63" t="str">
        <f ca="1">OFFSET(L!$C$1,MATCH("Definitions"&amp;ADDRESS(ROW(),COLUMN(),4),L!$A:$A,0)-1,SL,,)</f>
        <v>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v>
      </c>
      <c r="D11" s="350"/>
      <c r="E11" s="100" t="s">
        <v>1307</v>
      </c>
    </row>
    <row r="12" spans="1:5" ht="75">
      <c r="A12" s="74"/>
      <c r="B12" s="63" t="str">
        <f ca="1">OFFSET(L!$C$1,MATCH("Definitions"&amp;ADDRESS(ROW(),COLUMN(),4),L!$A:$A,0)-1,SL,,)</f>
        <v>Gold (Au) Raffinerie (Schmelzhutte)</v>
      </c>
      <c r="C12" s="63" t="str">
        <f ca="1">OFFSET(L!$C$1,MATCH("Definitions"&amp;ADDRESS(ROW(),COLUMN(),4),L!$A:$A,0)-1,SL,,)</f>
        <v>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v>
      </c>
      <c r="D12" s="350"/>
      <c r="E12" s="100" t="s">
        <v>1307</v>
      </c>
    </row>
    <row r="13" spans="1:5" ht="107.25" customHeight="1">
      <c r="A13" s="74"/>
      <c r="B13" s="63" t="str">
        <f ca="1">OFFSET(L!$C$1,MATCH("Definitions"&amp;ADDRESS(ROW(),COLUMN(),4),L!$A:$A,0)-1,SL,,)</f>
        <v>Unabhängige Private Wirtschaftsprüfungsgesellschaft</v>
      </c>
      <c r="C13" s="63" t="str">
        <f ca="1">OFFSET(L!$C$1,MATCH("Definitions"&amp;ADDRESS(ROW(),COLUMN(),4),L!$A:$A,0)-1,SL,,)</f>
        <v>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v>
      </c>
      <c r="D13" s="350"/>
      <c r="E13" s="100" t="s">
        <v>1309</v>
      </c>
    </row>
    <row r="14" spans="1:5" ht="330">
      <c r="A14" s="74"/>
      <c r="B14" s="63" t="str">
        <f ca="1">OFFSET(L!$C$1,MATCH("Definitions"&amp;ADDRESS(ROW(),COLUMN(),4),L!$A:$A,0)-1,SL,,)</f>
        <v>Absichtlich hinzugefügt</v>
      </c>
      <c r="C14" s="63" t="str">
        <f ca="1">OFFSET(L!$C$1,MATCH("Definitions"&amp;ADDRESS(ROW(),COLUMN(),4),L!$A:$A,0)-1,SL,,)</f>
        <v>"Absichtlich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v>
      </c>
      <c r="D14" s="350"/>
      <c r="E14" s="100" t="s">
        <v>1307</v>
      </c>
    </row>
    <row r="15" spans="1:5" ht="150">
      <c r="A15" s="74"/>
      <c r="B15" s="63" t="str">
        <f ca="1">OFFSET(L!$C$1,MATCH("Definitions"&amp;ADDRESS(ROW(),COLUMN(),4),L!$A:$A,0)-1,SL,,)</f>
        <v>IPC</v>
      </c>
      <c r="C15" s="63" t="str">
        <f ca="1">OFFSET(L!$C$1,MATCH("Definitions"&amp;ADDRESS(ROW(),COLUMN(),4),L!$A:$A,0)-1,SL,,)</f>
        <v>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v>
      </c>
      <c r="D15" s="350"/>
      <c r="E15" s="100" t="s">
        <v>1307</v>
      </c>
    </row>
    <row r="16" spans="1:5" ht="75">
      <c r="A16" s="74"/>
      <c r="B16" s="63" t="str">
        <f ca="1">OFFSET(L!$C$1,MATCH("Definitions"&amp;ADDRESS(ROW(),COLUMN(),4),L!$A:$A,0)-1,SL,,)</f>
        <v>IPC-1755 Responsible Minerals Data Exchange Standard</v>
      </c>
      <c r="C16" s="63" t="str">
        <f ca="1">OFFSET(L!$C$1,MATCH("Definitions"&amp;ADDRESS(ROW(),COLUMN(),4),L!$A:$A,0)-1,SL,,)</f>
        <v>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v>
      </c>
      <c r="D16" s="350"/>
      <c r="E16" s="100" t="s">
        <v>1307</v>
      </c>
    </row>
    <row r="17" spans="1:5" ht="270">
      <c r="A17" s="74"/>
      <c r="B17" s="63" t="str">
        <f ca="1">OFFSET(L!$C$1,MATCH("Definitions"&amp;ADDRESS(ROW(),COLUMN(),4),L!$A:$A,0)-1,SL,,)</f>
        <v>Erforderlich für die Funktionalität des Produkts</v>
      </c>
      <c r="C17" s="63" t="str">
        <f ca="1">OFFSET(L!$C$1,MATCH("Definitions"&amp;ADDRESS(ROW(),COLUMN(),4),L!$A:$A,0)-1,SL,,)</f>
        <v>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v>
      </c>
      <c r="D17" s="350"/>
      <c r="E17" s="100" t="s">
        <v>1307</v>
      </c>
    </row>
    <row r="18" spans="1:5" ht="165">
      <c r="A18" s="74"/>
      <c r="B18" s="63" t="str">
        <f ca="1">OFFSET(L!$C$1,MATCH("Definitions"&amp;ADDRESS(ROW(),COLUMN(),4),L!$A:$A,0)-1,SL,,)</f>
        <v>Erforderlich für die Herstellung eines Produkt</v>
      </c>
      <c r="C18" s="63" t="str">
        <f ca="1">OFFSET(L!$C$1,MATCH("Definitions"&amp;ADDRESS(ROW(),COLUMN(),4),L!$A:$A,0)-1,SL,,)</f>
        <v>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v>
      </c>
      <c r="D18" s="350"/>
      <c r="E18" s="100" t="s">
        <v>1307</v>
      </c>
    </row>
    <row r="19" spans="1:5" ht="15">
      <c r="A19" s="74"/>
      <c r="B19" s="63" t="str">
        <f ca="1">OFFSET(L!$C$1,MATCH("Definitions"&amp;ADDRESS(ROW(),COLUMN(),4),L!$A:$A,0)-1,SL,,)</f>
        <v>OECD</v>
      </c>
      <c r="C19" s="63" t="str">
        <f ca="1">OFFSET(L!$C$1,MATCH("Definitions"&amp;ADDRESS(ROW(),COLUMN(),4),L!$A:$A,0)-1,SL,,)</f>
        <v>Organisation für wirtschaftliche Zusammenarbeit und Entwicklung</v>
      </c>
      <c r="D19" s="350"/>
      <c r="E19" s="100"/>
    </row>
    <row r="20" spans="1:5" ht="45">
      <c r="A20" s="74"/>
      <c r="B20" s="63" t="str">
        <f ca="1">OFFSET(L!$C$1,MATCH("Definitions"&amp;ADDRESS(ROW(),COLUMN(),4),L!$A:$A,0)-1,SL,,)</f>
        <v>Produkt</v>
      </c>
      <c r="C20" s="63" t="str">
        <f ca="1">OFFSET(L!$C$1,MATCH("Definitions"&amp;ADDRESS(ROW(),COLUMN(),4),L!$A:$A,0)-1,SL,,)</f>
        <v>Das Produkt einer Firma oder die Fertigware ist ein Material oder ein Element, das die letzte Stufe der Herstellung und / oder Verarbeitung abgeschlossen hat und für den Vertrieb oder den Verkauf an den Kunden bestimmt ist.</v>
      </c>
      <c r="D20" s="350"/>
      <c r="E20" s="100"/>
    </row>
    <row r="21" spans="1:5" ht="15">
      <c r="A21" s="74"/>
      <c r="B21" s="63" t="str">
        <f ca="1">OFFSET(L!$C$1,MATCH("Definitions"&amp;ADDRESS(ROW(),COLUMN(),4),L!$A:$A,0)-1,SL,,)</f>
        <v>RBA</v>
      </c>
      <c r="C21" s="63" t="str">
        <f ca="1">OFFSET(L!$C$1,MATCH("Definitions"&amp;ADDRESS(ROW(),COLUMN(),4),L!$A:$A,0)-1,SL,,)</f>
        <v>Responsible Business Alliance (www.responsiblebusiness.org)</v>
      </c>
      <c r="D21" s="350"/>
      <c r="E21" s="100"/>
    </row>
    <row r="22" spans="1:5" ht="106.5" customHeight="1">
      <c r="A22" s="74"/>
      <c r="B22" s="63" t="str">
        <f ca="1">OFFSET(L!$C$1,MATCH("Definitions"&amp;ADDRESS(ROW(),COLUMN(),4),L!$A:$A,0)-1,SL,,)</f>
        <v>Recycling oder Schrott Quellen</v>
      </c>
      <c r="C22" s="63" t="str">
        <f ca="1">OFFSET(L!$C$1,MATCH("Definitions"&amp;ADDRESS(ROW(),COLUMN(),4),L!$A:$A,0)-1,SL,,)</f>
        <v>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v>
      </c>
      <c r="D22" s="350"/>
      <c r="E22" s="100"/>
    </row>
    <row r="23" spans="1:5" ht="60">
      <c r="A23" s="74"/>
      <c r="B23" s="63" t="str">
        <f ca="1">OFFSET(L!$C$1,MATCH("Definitions"&amp;ADDRESS(ROW(),COLUMN(),4),L!$A:$A,0)-1,SL,,)</f>
        <v>Responsible Minerals Assurance Process (RMAP)</v>
      </c>
      <c r="C23" s="63" t="str">
        <f ca="1">OFFSET(L!$C$1,MATCH("Definitions"&amp;ADDRESS(ROW(),COLUMN(),4),L!$A:$A,0)-1,SL,,)</f>
        <v>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v>
      </c>
      <c r="D23" s="350"/>
      <c r="E23" s="100"/>
    </row>
    <row r="24" spans="1:5" ht="168" customHeight="1">
      <c r="A24" s="74"/>
      <c r="B24" s="63" t="str">
        <f ca="1">OFFSET(L!$C$1,MATCH("Definitions"&amp;ADDRESS(ROW(),COLUMN(),4),L!$A:$A,0)-1,SL,,)</f>
        <v>Responsible Minerals Initiative</v>
      </c>
      <c r="C24" s="63" t="str">
        <f ca="1">OFFSET(L!$C$1,MATCH("Definitions"&amp;ADDRESS(ROW(),COLUMN(),4),L!$A:$A,0)-1,SL,,)</f>
        <v>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v>
      </c>
      <c r="D24" s="350"/>
      <c r="E24" s="100"/>
    </row>
    <row r="25" spans="1:5" ht="177.6" customHeight="1">
      <c r="A25" s="74"/>
      <c r="B25" s="63" t="str">
        <f ca="1">OFFSET(L!$C$1,MATCH("Definitions"&amp;ADDRESS(ROW(),COLUMN(),4),L!$A:$A,0)-1,SL,,)</f>
        <v>RMAP Compliant Smelter Liste</v>
      </c>
      <c r="C25" s="63" t="str">
        <f ca="1">OFFSET(L!$C$1,MATCH("Definitions"&amp;ADDRESS(ROW(),COLUMN(),4),L!$A:$A,0)-1,SL,,)</f>
        <v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v>
      </c>
      <c r="D25" s="350"/>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50"/>
      <c r="E26" s="100" t="s">
        <v>1309</v>
      </c>
    </row>
    <row r="27" spans="1:5" ht="90">
      <c r="A27" s="74"/>
      <c r="B27" s="63" t="str">
        <f ca="1">OFFSET(L!$C$1,MATCH("Definitions"&amp;ADDRESS(ROW(),COLUMN(),4),L!$A:$A,0)-1,SL,,)</f>
        <v>Schmelzhütte</v>
      </c>
      <c r="C27" s="63" t="str">
        <f ca="1">OFFSET(L!$C$1,MATCH("Definitions"&amp;ADDRESS(ROW(),COLUMN(),4),L!$A:$A,0)-1,SL,,)</f>
        <v>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v>
      </c>
      <c r="D27" s="350"/>
      <c r="E27" s="100" t="s">
        <v>1307</v>
      </c>
    </row>
    <row r="28" spans="1:5" ht="60">
      <c r="A28" s="74"/>
      <c r="B28" s="63" t="str">
        <f ca="1">OFFSET(L!$C$1,MATCH("Definitions"&amp;ADDRESS(ROW(),COLUMN(),4),L!$A:$A,0)-1,SL,,)</f>
        <v>Schmelzhütte Id-Nummer</v>
      </c>
      <c r="C28" s="63" t="str">
        <f ca="1">OFFSET(L!$C$1,MATCH("Definitions"&amp;ADDRESS(ROW(),COLUMN(),4),L!$A:$A,0)-1,SL,,)</f>
        <v>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v>
      </c>
      <c r="D28" s="350"/>
      <c r="E28" s="100" t="s">
        <v>1308</v>
      </c>
    </row>
    <row r="29" spans="1:5" ht="105">
      <c r="A29" s="74"/>
      <c r="B29" s="63" t="str">
        <f ca="1">OFFSET(L!$C$1,MATCH("Definitions"&amp;ADDRESS(ROW(),COLUMN(),4),L!$A:$A,0)-1,SL,,)</f>
        <v>Tantal (Ta) Schmelzhütte</v>
      </c>
      <c r="C29" s="63" t="str">
        <f ca="1">OFFSET(L!$C$1,MATCH("Definitions"&amp;ADDRESS(ROW(),COLUMN(),4),L!$A:$A,0)-1,SL,,)</f>
        <v>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v>
      </c>
      <c r="D29" s="350"/>
      <c r="E29" s="100" t="s">
        <v>1309</v>
      </c>
    </row>
    <row r="30" spans="1:5" ht="151.9" customHeight="1">
      <c r="A30" s="74"/>
      <c r="B30" s="63" t="str">
        <f ca="1">OFFSET(L!$C$1,MATCH("Definitions"&amp;ADDRESS(ROW(),COLUMN(),4),L!$A:$A,0)-1,SL,,)</f>
        <v>Zinn (Sn) Schmelzhütte</v>
      </c>
      <c r="C30" s="63" t="str">
        <f ca="1">OFFSET(L!$C$1,MATCH("Definitions"&amp;ADDRESS(ROW(),COLUMN(),4),L!$A:$A,0)-1,SL,,)</f>
        <v>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v>
      </c>
      <c r="D30" s="350"/>
      <c r="E30" s="100" t="s">
        <v>1310</v>
      </c>
    </row>
    <row r="31" spans="1:5" ht="136.9" customHeight="1">
      <c r="A31" s="74"/>
      <c r="B31" s="63" t="str">
        <f ca="1">OFFSET(L!$C$1,MATCH("Definitions"&amp;ADDRESS(ROW(),COLUMN(),4),L!$A:$A,0)-1,SL,,)</f>
        <v>Wolfram (W) Schmelzhütte</v>
      </c>
      <c r="C31" s="63" t="str">
        <f ca="1">OFFSET(L!$C$1,MATCH("Definitions"&amp;ADDRESS(ROW(),COLUMN(),4),L!$A:$A,0)-1,SL,,)</f>
        <v>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v>
      </c>
      <c r="D31" s="350"/>
      <c r="E31" s="100"/>
    </row>
    <row r="32" spans="1:5" ht="15">
      <c r="A32" s="74"/>
      <c r="B32" s="349" t="str">
        <f ca="1">OFFSET(L!$C$1,MATCH("General"&amp;"Cpy",L!$A:$A,0)-1,SL,,)</f>
        <v>© 2023 Responsible Minerals Initiative. All rights reserved.</v>
      </c>
      <c r="C32" s="349"/>
      <c r="D32" s="350"/>
      <c r="E32" s="100"/>
    </row>
    <row r="33" spans="1:4" ht="13.5" thickBot="1">
      <c r="A33" s="75"/>
      <c r="B33" s="153"/>
      <c r="C33" s="153"/>
      <c r="D33" s="351"/>
    </row>
    <row r="34" spans="1:4" ht="13.5"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83" zoomScalePageLayoutView="70" workbookViewId="0">
      <selection activeCell="B29" sqref="B29"/>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86"/>
      <c r="B1" s="387"/>
      <c r="C1" s="387"/>
      <c r="D1" s="387"/>
      <c r="E1" s="387"/>
      <c r="F1" s="387"/>
      <c r="G1" s="387"/>
      <c r="H1" s="387"/>
      <c r="I1" s="387"/>
      <c r="J1" s="387"/>
      <c r="K1" s="388"/>
      <c r="L1" s="100"/>
      <c r="P1" s="3"/>
      <c r="Q1" s="3"/>
      <c r="R1" s="3"/>
      <c r="S1" s="3"/>
      <c r="T1" s="3"/>
      <c r="U1" s="3"/>
      <c r="V1" s="3"/>
      <c r="W1" s="3"/>
      <c r="X1" s="3"/>
      <c r="Y1" s="3"/>
      <c r="Z1" s="3"/>
      <c r="AA1" s="3"/>
      <c r="AB1" s="3"/>
      <c r="AC1" s="3"/>
      <c r="AD1" s="3"/>
      <c r="AE1" s="3"/>
      <c r="AF1" s="3"/>
      <c r="AG1" s="3"/>
      <c r="AH1" s="3"/>
    </row>
    <row r="2" spans="1:34" ht="82.35" customHeight="1">
      <c r="A2" s="34"/>
      <c r="B2" s="136"/>
      <c r="C2" s="35"/>
      <c r="D2" s="389" t="str">
        <f ca="1">OFFSET(L!$C$1,MATCH("Declaration"&amp;ADDRESS(ROW(),COLUMN(),4),L!$A:$A,0)-1,SL,,)</f>
        <v>Conflict Minerals Reporting Template (CMRT)</v>
      </c>
      <c r="E2" s="390"/>
      <c r="F2" s="390"/>
      <c r="G2" s="390"/>
      <c r="H2" s="390"/>
      <c r="I2" s="390"/>
      <c r="J2" s="391"/>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536</v>
      </c>
      <c r="E3" s="3"/>
      <c r="F3" s="399"/>
      <c r="G3" s="399"/>
      <c r="H3" s="399"/>
      <c r="I3" s="152"/>
      <c r="J3" s="138" t="s">
        <v>15794</v>
      </c>
      <c r="K3" s="36"/>
      <c r="L3" s="100"/>
      <c r="P3" s="45">
        <f>MATCH($D$3,LN,0)</f>
        <v>7</v>
      </c>
    </row>
    <row r="4" spans="1:34" ht="15.75">
      <c r="A4" s="34"/>
      <c r="B4" s="395" t="str">
        <f ca="1">OFFSET(L!$C$1,MATCH("Declaration"&amp;ADDRESS(ROW(),COLUMN(),4),L!$A:$A,0)-1,SL,,)</f>
        <v>Der Zweck dieses Dokuments ist die Erfassung von Beschaffungsinformationen für Zinn, Tantal, Wolfram und Gold, welche in Produkten genutzt werden.</v>
      </c>
      <c r="C4" s="395"/>
      <c r="D4" s="395"/>
      <c r="E4" s="395"/>
      <c r="F4" s="395"/>
      <c r="G4" s="395"/>
      <c r="H4" s="395"/>
      <c r="I4" s="400" t="str">
        <f ca="1">OFFSET(L!$C$1,MATCH("Declaration"&amp;ADDRESS(ROW(),COLUMN(),4),L!$A:$A,0)-1,SL,,)</f>
        <v>Link zu den Bedingungen</v>
      </c>
      <c r="J4" s="400"/>
      <c r="K4" s="36"/>
      <c r="L4" s="115"/>
      <c r="P4" s="3"/>
      <c r="Q4" s="3"/>
      <c r="R4" s="3"/>
      <c r="S4" s="3"/>
      <c r="T4" s="3"/>
      <c r="U4" s="3"/>
      <c r="V4" s="3"/>
      <c r="W4" s="3"/>
      <c r="X4" s="3"/>
      <c r="Y4" s="3"/>
      <c r="Z4" s="3"/>
      <c r="AA4" s="3"/>
      <c r="AB4" s="3"/>
      <c r="AC4" s="3"/>
      <c r="AD4" s="3"/>
      <c r="AE4" s="3"/>
      <c r="AF4" s="3"/>
      <c r="AG4" s="3"/>
      <c r="AH4" s="3"/>
    </row>
    <row r="5" spans="1:34" ht="15">
      <c r="A5" s="134" t="str">
        <f>LEFT(D9,1)</f>
        <v>B</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95" t="str">
        <f ca="1">OFFSET(L!$C$1,MATCH("Declaration"&amp;ADDRESS(ROW(),COLUMN(),4),L!$A:$A,0)-1,SL,,)</f>
        <v>Pflichtfelder sind mit einem Sternchen (*) gekennzeichnet.  Im Tab „Instruktionen“ finden Sie eine Anleitung zur Beantwortung aller Fragen.</v>
      </c>
      <c r="C6" s="395"/>
      <c r="D6" s="395"/>
      <c r="E6" s="395"/>
      <c r="F6" s="395"/>
      <c r="G6" s="395"/>
      <c r="H6" s="395"/>
      <c r="I6" s="395"/>
      <c r="J6" s="395"/>
      <c r="K6" s="36"/>
      <c r="L6" s="115" t="s">
        <v>443</v>
      </c>
      <c r="P6" s="3"/>
      <c r="Q6" s="3"/>
      <c r="R6" s="3"/>
      <c r="S6" s="3"/>
      <c r="T6" s="3"/>
      <c r="U6" s="3"/>
      <c r="V6" s="3"/>
      <c r="W6" s="3"/>
      <c r="X6" s="3"/>
      <c r="Y6" s="3"/>
      <c r="Z6" s="3"/>
      <c r="AA6" s="3"/>
      <c r="AB6" s="3"/>
      <c r="AC6" s="3"/>
      <c r="AD6" s="3"/>
      <c r="AE6" s="3"/>
      <c r="AF6" s="3"/>
      <c r="AG6" s="3"/>
      <c r="AH6" s="3"/>
    </row>
    <row r="7" spans="1:34" ht="37.15" customHeight="1">
      <c r="A7" s="34"/>
      <c r="B7" s="404" t="str">
        <f ca="1">OFFSET(L!$C$1,MATCH("Declaration"&amp;ADDRESS(ROW(),COLUMN(),4),L!$A:$A,0)-1,SL,,)</f>
        <v>Firmenangaben</v>
      </c>
      <c r="C7" s="404"/>
      <c r="D7" s="404"/>
      <c r="E7" s="404"/>
      <c r="F7" s="404"/>
      <c r="G7" s="404"/>
      <c r="H7" s="404"/>
      <c r="I7" s="404"/>
      <c r="J7" s="404"/>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Firmenname (*):</v>
      </c>
      <c r="C8" s="76"/>
      <c r="D8" s="392" t="s">
        <v>15795</v>
      </c>
      <c r="E8" s="393"/>
      <c r="F8" s="393"/>
      <c r="G8" s="393"/>
      <c r="H8" s="393"/>
      <c r="I8" s="393"/>
      <c r="J8" s="394"/>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Geltungsbereich der Erklärung (*):</v>
      </c>
      <c r="C9" s="76"/>
      <c r="D9" s="401" t="s">
        <v>495</v>
      </c>
      <c r="E9" s="402"/>
      <c r="F9" s="402"/>
      <c r="G9" s="403"/>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405" t="str">
        <f ca="1">OFFSET(L!$C$1,MATCH("Declaration"&amp;ADDRESS(ROW(),COLUMN(),4)&amp;LEFT($D$9,1),L!$A:$A,0)-1,SL,,)</f>
        <v>Wechseln Sie zum Reiter „Product List“ und geben dort die Produkte ein, für die diese Erklärung gilt.</v>
      </c>
      <c r="C10" s="122"/>
      <c r="D10" s="396"/>
      <c r="E10" s="397"/>
      <c r="F10" s="397"/>
      <c r="G10" s="397"/>
      <c r="H10" s="397"/>
      <c r="I10" s="397"/>
      <c r="J10" s="398"/>
      <c r="K10" s="36"/>
      <c r="L10" s="115"/>
      <c r="Q10" s="3"/>
      <c r="R10" s="3"/>
      <c r="S10" s="3"/>
      <c r="T10" s="3"/>
      <c r="U10" s="3"/>
      <c r="V10" s="3"/>
      <c r="W10" s="3"/>
      <c r="X10" s="3"/>
      <c r="Y10" s="3"/>
      <c r="Z10" s="3"/>
      <c r="AA10" s="3"/>
      <c r="AB10" s="3"/>
      <c r="AC10" s="3"/>
      <c r="AD10" s="3"/>
      <c r="AE10" s="3"/>
      <c r="AF10" s="3"/>
      <c r="AG10" s="3"/>
      <c r="AH10" s="3"/>
    </row>
    <row r="11" spans="1:34" ht="15.75">
      <c r="A11" s="38"/>
      <c r="B11" s="406"/>
      <c r="C11" s="122"/>
      <c r="D11" s="371" t="str">
        <f ca="1">IF(D9=Q9,OFFSET(L!$C$1,MATCH("Declaration"&amp;ADDRESS(ROW(),COLUMN(),4),L!$A:$A,0)-1,SL,,),"")</f>
        <v>Klicken Sie hier, um die Produkte einzugeben, auf die diese Erklärung anzuwenden ist</v>
      </c>
      <c r="E11" s="372"/>
      <c r="F11" s="372"/>
      <c r="G11" s="372"/>
      <c r="H11" s="372"/>
      <c r="I11" s="372"/>
      <c r="J11" s="373"/>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Eindeutige Unternehmenskennung:</v>
      </c>
      <c r="C12" s="77"/>
      <c r="D12" s="379"/>
      <c r="E12" s="380"/>
      <c r="F12" s="380"/>
      <c r="G12" s="380"/>
      <c r="H12" s="380"/>
      <c r="I12" s="380"/>
      <c r="J12" s="381"/>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Zuständige Stelle im Unternehmen:</v>
      </c>
      <c r="C13" s="77"/>
      <c r="D13" s="379"/>
      <c r="E13" s="380"/>
      <c r="F13" s="380"/>
      <c r="G13" s="380"/>
      <c r="H13" s="380"/>
      <c r="I13" s="380"/>
      <c r="J13" s="381"/>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Adresse:</v>
      </c>
      <c r="C14" s="77"/>
      <c r="D14" s="379" t="s">
        <v>15796</v>
      </c>
      <c r="E14" s="380"/>
      <c r="F14" s="380"/>
      <c r="G14" s="380"/>
      <c r="H14" s="380"/>
      <c r="I14" s="380"/>
      <c r="J14" s="381"/>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Name des Ansprechpartners (*):</v>
      </c>
      <c r="C15" s="77"/>
      <c r="D15" s="379" t="s">
        <v>15797</v>
      </c>
      <c r="E15" s="380"/>
      <c r="F15" s="380"/>
      <c r="G15" s="380"/>
      <c r="H15" s="380"/>
      <c r="I15" s="380"/>
      <c r="J15" s="381"/>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E-Mail-Adresse des Ansprechpartners (*):</v>
      </c>
      <c r="C16" s="77"/>
      <c r="D16" s="407" t="s">
        <v>15798</v>
      </c>
      <c r="E16" s="408"/>
      <c r="F16" s="408"/>
      <c r="G16" s="408"/>
      <c r="H16" s="408"/>
      <c r="I16" s="408"/>
      <c r="J16" s="409"/>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Telefonnummer des Ansprechpartners (*):</v>
      </c>
      <c r="C17" s="77"/>
      <c r="D17" s="379" t="s">
        <v>15799</v>
      </c>
      <c r="E17" s="380"/>
      <c r="F17" s="380"/>
      <c r="G17" s="380"/>
      <c r="H17" s="380"/>
      <c r="I17" s="380"/>
      <c r="J17" s="381"/>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Bevollmächtigter (*):</v>
      </c>
      <c r="C18" s="77"/>
      <c r="D18" s="352" t="s">
        <v>15797</v>
      </c>
      <c r="E18" s="353"/>
      <c r="F18" s="353"/>
      <c r="G18" s="353"/>
      <c r="H18" s="353"/>
      <c r="I18" s="353"/>
      <c r="J18" s="354"/>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Titel des Bevollmächtigten:</v>
      </c>
      <c r="C19" s="77"/>
      <c r="D19" s="379" t="s">
        <v>15800</v>
      </c>
      <c r="E19" s="380"/>
      <c r="F19" s="380"/>
      <c r="G19" s="380"/>
      <c r="H19" s="380"/>
      <c r="I19" s="380"/>
      <c r="J19" s="381"/>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E-Mail-Adresse des Bevollmächtigten (*):</v>
      </c>
      <c r="C20" s="77"/>
      <c r="D20" s="407" t="s">
        <v>15798</v>
      </c>
      <c r="E20" s="408"/>
      <c r="F20" s="408"/>
      <c r="G20" s="408"/>
      <c r="H20" s="408"/>
      <c r="I20" s="408"/>
      <c r="J20" s="409"/>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Telefonnummer des Bevollmächtigten:</v>
      </c>
      <c r="C21" s="133"/>
      <c r="D21" s="410" t="s">
        <v>15799</v>
      </c>
      <c r="E21" s="411"/>
      <c r="F21" s="411"/>
      <c r="G21" s="411"/>
      <c r="H21" s="411"/>
      <c r="I21" s="411"/>
      <c r="J21" s="412"/>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Datum (*):</v>
      </c>
      <c r="C22" s="78"/>
      <c r="D22" s="413">
        <v>45184</v>
      </c>
      <c r="E22" s="414"/>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82"/>
      <c r="E23" s="382"/>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415" t="str">
        <f ca="1">OFFSET(L!$C$1,MATCH("Declaration"&amp;ADDRESS(ROW(),COLUMN(),4),L!$A:$A,0)-1,SL,,)</f>
        <v>Beantworten Sie die Fragen 1 - 8 entsprechend dem oben angegebenen Geltungsbereich</v>
      </c>
      <c r="C24" s="415"/>
      <c r="D24" s="415"/>
      <c r="E24" s="415"/>
      <c r="F24" s="415"/>
      <c r="G24" s="415"/>
      <c r="H24" s="415"/>
      <c r="I24" s="415"/>
      <c r="J24" s="415"/>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Wird absichtlich ein 3TG-Mineral im Herstellungsprozess verwendet oder in das/die Produkt(e) aufgenommen? (*)</v>
      </c>
      <c r="C25" s="17"/>
      <c r="D25" s="362" t="str">
        <f ca="1">OFFSET(L!$C$1,MATCH("Declaration"&amp;ADDRESS(ROW(),COLUMN(),4),L!$A:$A,0)-1,SL,,)</f>
        <v>Antwort</v>
      </c>
      <c r="E25" s="362"/>
      <c r="F25" s="18"/>
      <c r="G25" s="44" t="str">
        <f ca="1">OFFSET(L!$C$1,MATCH("Declaration"&amp;ADDRESS(ROW(),COLUMN(),4),L!$A:$A,0)-1,SL,,)</f>
        <v>Kommentare</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  (*)</v>
      </c>
      <c r="C26" s="35"/>
      <c r="D26" s="355" t="s">
        <v>488</v>
      </c>
      <c r="E26" s="356"/>
      <c r="F26" s="12"/>
      <c r="G26" s="357" t="s">
        <v>15801</v>
      </c>
      <c r="H26" s="358"/>
      <c r="I26" s="358"/>
      <c r="J26" s="359"/>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Zinn  (*)</v>
      </c>
      <c r="C27" s="35"/>
      <c r="D27" s="355" t="s">
        <v>488</v>
      </c>
      <c r="E27" s="356"/>
      <c r="F27" s="12"/>
      <c r="G27" s="357" t="s">
        <v>15801</v>
      </c>
      <c r="H27" s="358"/>
      <c r="I27" s="358"/>
      <c r="J27" s="359"/>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55" t="s">
        <v>488</v>
      </c>
      <c r="E28" s="356"/>
      <c r="F28" s="12"/>
      <c r="G28" s="357" t="s">
        <v>15801</v>
      </c>
      <c r="H28" s="358"/>
      <c r="I28" s="358"/>
      <c r="J28" s="359"/>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Wolfram  (*)</v>
      </c>
      <c r="C29" s="35"/>
      <c r="D29" s="355" t="s">
        <v>488</v>
      </c>
      <c r="E29" s="356"/>
      <c r="F29" s="12"/>
      <c r="G29" s="357" t="s">
        <v>15801</v>
      </c>
      <c r="H29" s="358"/>
      <c r="I29" s="358"/>
      <c r="J29" s="359"/>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Liegen in dem/den Produkt(en) 3TG-Rückstände vor?  (*)</v>
      </c>
      <c r="C31" s="10"/>
      <c r="D31" s="364" t="str">
        <f ca="1">D25</f>
        <v>Antwort</v>
      </c>
      <c r="E31" s="364"/>
      <c r="F31" s="18"/>
      <c r="G31" s="44" t="str">
        <f ca="1">G25</f>
        <v>Kommentare</v>
      </c>
      <c r="H31" s="44"/>
      <c r="I31" s="44"/>
      <c r="J31" s="83"/>
      <c r="K31" s="36"/>
      <c r="L31" s="111" t="s">
        <v>1238</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  (*)</v>
      </c>
      <c r="C32" s="10"/>
      <c r="D32" s="374" t="s">
        <v>488</v>
      </c>
      <c r="E32" s="375"/>
      <c r="F32" s="47"/>
      <c r="G32" s="357"/>
      <c r="H32" s="358"/>
      <c r="I32" s="358"/>
      <c r="J32" s="359"/>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Zinn  (*)</v>
      </c>
      <c r="C33" s="10"/>
      <c r="D33" s="355" t="s">
        <v>488</v>
      </c>
      <c r="E33" s="356"/>
      <c r="F33" s="47"/>
      <c r="G33" s="357"/>
      <c r="H33" s="358"/>
      <c r="I33" s="358"/>
      <c r="J33" s="359"/>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55" t="s">
        <v>488</v>
      </c>
      <c r="E34" s="356"/>
      <c r="F34" s="47"/>
      <c r="G34" s="357"/>
      <c r="H34" s="358"/>
      <c r="I34" s="358"/>
      <c r="J34" s="359"/>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Wolfram  (*)</v>
      </c>
      <c r="C35" s="10"/>
      <c r="D35" s="355" t="s">
        <v>488</v>
      </c>
      <c r="E35" s="356"/>
      <c r="F35" s="47"/>
      <c r="G35" s="357"/>
      <c r="H35" s="358"/>
      <c r="I35" s="358"/>
      <c r="J35" s="359"/>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Beschaffen Schmelzhütten in Ihrer Lieferkette das 3TG-Mineral aus den umfassten Ländern? (SEC-Begriff, siehe Definitions-Tab) (*)</v>
      </c>
      <c r="C37" s="10"/>
      <c r="D37" s="364" t="str">
        <f ca="1">D25</f>
        <v>Antwort</v>
      </c>
      <c r="E37" s="364"/>
      <c r="F37" s="18"/>
      <c r="G37" s="44" t="str">
        <f ca="1">G25</f>
        <v>Kommentare</v>
      </c>
      <c r="H37" s="378"/>
      <c r="I37" s="378"/>
      <c r="J37" s="378"/>
      <c r="K37" s="36"/>
      <c r="L37" s="111" t="s">
        <v>1238</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  (*)</v>
      </c>
      <c r="C38" s="10"/>
      <c r="D38" s="355" t="s">
        <v>489</v>
      </c>
      <c r="E38" s="356"/>
      <c r="F38" s="47"/>
      <c r="G38" s="357"/>
      <c r="H38" s="358"/>
      <c r="I38" s="358"/>
      <c r="J38" s="359"/>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Zinn  (*)</v>
      </c>
      <c r="C39" s="10"/>
      <c r="D39" s="355" t="s">
        <v>489</v>
      </c>
      <c r="E39" s="356"/>
      <c r="F39" s="47"/>
      <c r="G39" s="357"/>
      <c r="H39" s="358"/>
      <c r="I39" s="358"/>
      <c r="J39" s="359"/>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55" t="s">
        <v>489</v>
      </c>
      <c r="E40" s="356"/>
      <c r="F40" s="47"/>
      <c r="G40" s="357"/>
      <c r="H40" s="358"/>
      <c r="I40" s="358"/>
      <c r="J40" s="359"/>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Wolfram  (*)</v>
      </c>
      <c r="C41" s="10"/>
      <c r="D41" s="355" t="s">
        <v>489</v>
      </c>
      <c r="E41" s="356"/>
      <c r="F41" s="47"/>
      <c r="G41" s="357"/>
      <c r="H41" s="358"/>
      <c r="I41" s="358"/>
      <c r="J41" s="359"/>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Beziehen Schmelzhütten in Ihrer Lieferkette ihre 3TG aus von Konflikten betroffenen und risikoreichen Gebieten? (*)</v>
      </c>
      <c r="C43" s="10"/>
      <c r="D43" s="364" t="str">
        <f ca="1">D25</f>
        <v>Antwort</v>
      </c>
      <c r="E43" s="364"/>
      <c r="F43" s="18"/>
      <c r="G43" s="44" t="str">
        <f ca="1">G25</f>
        <v>Kommentare</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  (*)</v>
      </c>
      <c r="C44" s="10"/>
      <c r="D44" s="355" t="s">
        <v>489</v>
      </c>
      <c r="E44" s="356"/>
      <c r="F44" s="47"/>
      <c r="G44" s="357"/>
      <c r="H44" s="358"/>
      <c r="I44" s="358"/>
      <c r="J44" s="359"/>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Zinn  (*)</v>
      </c>
      <c r="C45" s="10"/>
      <c r="D45" s="355" t="s">
        <v>489</v>
      </c>
      <c r="E45" s="356"/>
      <c r="F45" s="47"/>
      <c r="G45" s="357"/>
      <c r="H45" s="358"/>
      <c r="I45" s="358"/>
      <c r="J45" s="359"/>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55" t="s">
        <v>489</v>
      </c>
      <c r="E46" s="356"/>
      <c r="F46" s="47"/>
      <c r="G46" s="357"/>
      <c r="H46" s="358"/>
      <c r="I46" s="358"/>
      <c r="J46" s="359"/>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Wolfram  (*)</v>
      </c>
      <c r="C47" s="10"/>
      <c r="D47" s="355" t="s">
        <v>489</v>
      </c>
      <c r="E47" s="356"/>
      <c r="F47" s="47"/>
      <c r="G47" s="357"/>
      <c r="H47" s="358"/>
      <c r="I47" s="358"/>
      <c r="J47" s="359"/>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Stammt das für die Funktionalität oder  Herstellung Ihrer Produkte benötigte 3TG-Mineral zu 100 % aus Recycling- oder Schrottquellen?  (*)</v>
      </c>
      <c r="C49" s="10"/>
      <c r="D49" s="364" t="str">
        <f ca="1">D25</f>
        <v>Antwort</v>
      </c>
      <c r="E49" s="364"/>
      <c r="F49" s="18"/>
      <c r="G49" s="44" t="str">
        <f ca="1">G25</f>
        <v>Kommentare</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Tantal  (*)</v>
      </c>
      <c r="C50" s="10"/>
      <c r="D50" s="355" t="s">
        <v>489</v>
      </c>
      <c r="E50" s="356"/>
      <c r="F50" s="47"/>
      <c r="G50" s="357"/>
      <c r="H50" s="358"/>
      <c r="I50" s="358"/>
      <c r="J50" s="359"/>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Zinn  (*)</v>
      </c>
      <c r="C51" s="10"/>
      <c r="D51" s="355" t="s">
        <v>489</v>
      </c>
      <c r="E51" s="356"/>
      <c r="F51" s="47"/>
      <c r="G51" s="357"/>
      <c r="H51" s="358"/>
      <c r="I51" s="358"/>
      <c r="J51" s="359"/>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55" t="s">
        <v>489</v>
      </c>
      <c r="E52" s="356"/>
      <c r="F52" s="47"/>
      <c r="G52" s="357"/>
      <c r="H52" s="358"/>
      <c r="I52" s="358"/>
      <c r="J52" s="359"/>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Wolfram  (*)</v>
      </c>
      <c r="C53" s="10"/>
      <c r="D53" s="355" t="s">
        <v>489</v>
      </c>
      <c r="E53" s="356"/>
      <c r="F53" s="47"/>
      <c r="G53" s="357"/>
      <c r="H53" s="358"/>
      <c r="I53" s="358"/>
      <c r="J53" s="359"/>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Wie hoch ist der Prozentsatz an Lieferanten, die auf Ihre Lieferkettenumfrage geantwortet haben? (*)</v>
      </c>
      <c r="C55" s="10"/>
      <c r="D55" s="364" t="str">
        <f ca="1">D25</f>
        <v>Antwort</v>
      </c>
      <c r="E55" s="364"/>
      <c r="F55" s="18"/>
      <c r="G55" s="44" t="str">
        <f ca="1">G25</f>
        <v>Kommentare</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Tantal  (*)</v>
      </c>
      <c r="C56" s="35"/>
      <c r="D56" s="376" t="s">
        <v>16017</v>
      </c>
      <c r="E56" s="377"/>
      <c r="F56" s="47"/>
      <c r="G56" s="357"/>
      <c r="H56" s="358"/>
      <c r="I56" s="358"/>
      <c r="J56" s="359"/>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Zinn  (*)</v>
      </c>
      <c r="C57" s="35"/>
      <c r="D57" s="376" t="s">
        <v>16017</v>
      </c>
      <c r="E57" s="377"/>
      <c r="F57" s="47"/>
      <c r="G57" s="357"/>
      <c r="H57" s="358"/>
      <c r="I57" s="358"/>
      <c r="J57" s="359"/>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76" t="s">
        <v>16017</v>
      </c>
      <c r="E58" s="377"/>
      <c r="F58" s="47"/>
      <c r="G58" s="357"/>
      <c r="H58" s="358"/>
      <c r="I58" s="358"/>
      <c r="J58" s="359"/>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Wolfram  (*)</v>
      </c>
      <c r="C59" s="35"/>
      <c r="D59" s="376" t="s">
        <v>16017</v>
      </c>
      <c r="E59" s="377"/>
      <c r="F59" s="47"/>
      <c r="G59" s="357"/>
      <c r="H59" s="358"/>
      <c r="I59" s="358"/>
      <c r="J59" s="359"/>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Haben Sie alle Schmelzhütten ermittelt, die das 3TG-Mineral für Ihre Lieferkette bereitstellen?  (*)</v>
      </c>
      <c r="C61" s="10"/>
      <c r="D61" s="364" t="str">
        <f ca="1">D25</f>
        <v>Antwort</v>
      </c>
      <c r="E61" s="364"/>
      <c r="F61" s="18"/>
      <c r="G61" s="44" t="str">
        <f ca="1">G25</f>
        <v>Kommentare</v>
      </c>
      <c r="H61" s="361"/>
      <c r="I61" s="361"/>
      <c r="J61" s="361"/>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  (*)</v>
      </c>
      <c r="C62" s="10"/>
      <c r="D62" s="374" t="s">
        <v>488</v>
      </c>
      <c r="E62" s="375"/>
      <c r="F62" s="47"/>
      <c r="G62" s="357"/>
      <c r="H62" s="358"/>
      <c r="I62" s="358"/>
      <c r="J62" s="359"/>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Zinn  (*)</v>
      </c>
      <c r="C63" s="10"/>
      <c r="D63" s="355" t="s">
        <v>488</v>
      </c>
      <c r="E63" s="356"/>
      <c r="F63" s="47"/>
      <c r="G63" s="357"/>
      <c r="H63" s="358"/>
      <c r="I63" s="358"/>
      <c r="J63" s="359"/>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55" t="s">
        <v>488</v>
      </c>
      <c r="E64" s="356"/>
      <c r="F64" s="47"/>
      <c r="G64" s="357"/>
      <c r="H64" s="358"/>
      <c r="I64" s="358"/>
      <c r="J64" s="359"/>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Wolfram  (*)</v>
      </c>
      <c r="C65" s="10"/>
      <c r="D65" s="355" t="s">
        <v>488</v>
      </c>
      <c r="E65" s="356"/>
      <c r="F65" s="47"/>
      <c r="G65" s="357"/>
      <c r="H65" s="358"/>
      <c r="I65" s="358"/>
      <c r="J65" s="359"/>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Haben Sie alle relevanten Informationen, die Ihr Unternehmen zu den Schmelzhütten erhalten hat, in dieser Erklärung aufgeführt?  (*)</v>
      </c>
      <c r="C67" s="10"/>
      <c r="D67" s="364" t="str">
        <f ca="1">D25</f>
        <v>Antwort</v>
      </c>
      <c r="E67" s="364"/>
      <c r="F67" s="18"/>
      <c r="G67" s="44" t="str">
        <f ca="1">G25</f>
        <v>Kommentare</v>
      </c>
      <c r="H67" s="361" t="str">
        <f>IF(Q75="(*)","Click here to enter smelter names","")</f>
        <v/>
      </c>
      <c r="I67" s="361"/>
      <c r="J67" s="361"/>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  (*)</v>
      </c>
      <c r="C68" s="35"/>
      <c r="D68" s="355" t="s">
        <v>488</v>
      </c>
      <c r="E68" s="356"/>
      <c r="F68" s="48"/>
      <c r="G68" s="357"/>
      <c r="H68" s="358"/>
      <c r="I68" s="358"/>
      <c r="J68" s="359"/>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Zinn  (*)</v>
      </c>
      <c r="C69" s="35"/>
      <c r="D69" s="355" t="s">
        <v>488</v>
      </c>
      <c r="E69" s="356"/>
      <c r="F69" s="48"/>
      <c r="G69" s="357"/>
      <c r="H69" s="358"/>
      <c r="I69" s="358"/>
      <c r="J69" s="359"/>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55" t="s">
        <v>488</v>
      </c>
      <c r="E70" s="356"/>
      <c r="F70" s="48"/>
      <c r="G70" s="357"/>
      <c r="H70" s="358"/>
      <c r="I70" s="358"/>
      <c r="J70" s="359"/>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Wolfram  (*)</v>
      </c>
      <c r="C71" s="49"/>
      <c r="D71" s="355" t="s">
        <v>488</v>
      </c>
      <c r="E71" s="356"/>
      <c r="F71" s="50"/>
      <c r="G71" s="357"/>
      <c r="H71" s="358"/>
      <c r="I71" s="358"/>
      <c r="J71" s="359"/>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60" t="str">
        <f ca="1">OFFSET(L!$C$1,MATCH("Declaration"&amp;ADDRESS(ROW(),COLUMN(),4),L!$A:$A,0)-1,SL,,)</f>
        <v>Beantworten Sie folgende Fragen auf Firmenebene</v>
      </c>
      <c r="C73" s="360"/>
      <c r="D73" s="360"/>
      <c r="E73" s="360"/>
      <c r="F73" s="360"/>
      <c r="G73" s="360"/>
      <c r="H73" s="360"/>
      <c r="I73" s="360"/>
      <c r="J73" s="360"/>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Frage</v>
      </c>
      <c r="C74" s="81"/>
      <c r="D74" s="362" t="str">
        <f ca="1">D25</f>
        <v>Antwort</v>
      </c>
      <c r="E74" s="362"/>
      <c r="F74" s="53"/>
      <c r="G74" s="362" t="str">
        <f ca="1">G25</f>
        <v>Kommentare</v>
      </c>
      <c r="H74" s="362" t="e">
        <f>HLOOKUP(SL,LT,$O74,0)</f>
        <v>#NAME?</v>
      </c>
      <c r="I74" s="362"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Haben Sie eine konfliktfreie Beschaffungsrichtlinie für Mineralien erstellt? (*)</v>
      </c>
      <c r="C75" s="57"/>
      <c r="D75" s="355" t="s">
        <v>489</v>
      </c>
      <c r="E75" s="356"/>
      <c r="F75" s="57"/>
      <c r="G75" s="357"/>
      <c r="H75" s="358"/>
      <c r="I75" s="358"/>
      <c r="J75" s="359"/>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63"/>
      <c r="H76" s="363"/>
      <c r="I76" s="363"/>
      <c r="J76" s="363"/>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Ist Ihre konfliktfreie Beschaffungsrichtlinie für Mineralien auf Ihrer Website einsehbar? (Hinweis - Wenn „Ja“, sollte der Benutzer die URL im Anmerkungsfeld angeben.) (*)</v>
      </c>
      <c r="C77" s="57"/>
      <c r="D77" s="355" t="s">
        <v>489</v>
      </c>
      <c r="E77" s="356"/>
      <c r="F77" s="57"/>
      <c r="G77" s="383"/>
      <c r="H77" s="384"/>
      <c r="I77" s="384"/>
      <c r="J77" s="385"/>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Verlangen Sie von Ihren direkten Lieferanten, das 3TG-Mineral ausschließlich von Schmelzhütten zu beziehen, deren Sorgfaltspflichts-Praktiken von einer unabhängigen Instanz überprüft wurden? (*)</v>
      </c>
      <c r="C79" s="57"/>
      <c r="D79" s="355" t="s">
        <v>489</v>
      </c>
      <c r="E79" s="356"/>
      <c r="F79" s="57"/>
      <c r="G79" s="357"/>
      <c r="H79" s="358"/>
      <c r="I79" s="358"/>
      <c r="J79" s="359"/>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Haben Sie Sorgfaltspflichtmaßnahmen für die konfliktfreie Beschaffung in Kraft gesetzt? (*)</v>
      </c>
      <c r="C81" s="57"/>
      <c r="D81" s="355" t="s">
        <v>489</v>
      </c>
      <c r="E81" s="356"/>
      <c r="F81" s="57"/>
      <c r="G81" s="357"/>
      <c r="H81" s="358"/>
      <c r="I81" s="358"/>
      <c r="J81" s="359"/>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Veranstaltet Ihr Unternehmen (eine) Konfliktmineralienumfrage(n) mit seinen entsprechenden Lieferanten? (*)</v>
      </c>
      <c r="C83" s="57"/>
      <c r="D83" s="355" t="s">
        <v>489</v>
      </c>
      <c r="E83" s="356"/>
      <c r="F83" s="57"/>
      <c r="G83" s="357"/>
      <c r="H83" s="358"/>
      <c r="I83" s="358"/>
      <c r="J83" s="359"/>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Überprüfen Sie die Sorgfaltspflichts-Informationen, die Sie von ihren Lieferanten erhalten, anhand der Erwartungen Ihres Unternehmens? (*)</v>
      </c>
      <c r="C85" s="57"/>
      <c r="D85" s="368" t="s">
        <v>489</v>
      </c>
      <c r="E85" s="369"/>
      <c r="F85" s="57"/>
      <c r="G85" s="357"/>
      <c r="H85" s="358"/>
      <c r="I85" s="358"/>
      <c r="J85" s="359"/>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63"/>
      <c r="H86" s="363"/>
      <c r="I86" s="363"/>
      <c r="J86" s="363"/>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Sieht Ihr Review-Prozess ein Korrekturmaßnahmen-Management vor? (*)</v>
      </c>
      <c r="C87" s="57"/>
      <c r="D87" s="355" t="s">
        <v>489</v>
      </c>
      <c r="E87" s="356"/>
      <c r="F87" s="57"/>
      <c r="G87" s="357"/>
      <c r="H87" s="358"/>
      <c r="I87" s="358"/>
      <c r="J87" s="359"/>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70"/>
      <c r="H88" s="370"/>
      <c r="I88" s="370"/>
      <c r="J88" s="370"/>
      <c r="K88" s="36"/>
      <c r="L88" s="113"/>
      <c r="M88" s="112"/>
      <c r="P88" s="3"/>
      <c r="Q88" s="3"/>
      <c r="R88" s="3"/>
      <c r="S88" s="3"/>
      <c r="T88" s="3"/>
      <c r="U88" s="3"/>
      <c r="V88" s="3"/>
      <c r="W88" s="3"/>
      <c r="X88" s="3"/>
      <c r="Y88" s="3"/>
      <c r="Z88" s="3"/>
      <c r="AA88" s="3"/>
      <c r="AB88" s="3"/>
      <c r="AC88" s="3"/>
      <c r="AD88" s="3"/>
      <c r="AE88" s="3"/>
      <c r="AF88" s="3"/>
      <c r="AG88" s="3"/>
      <c r="AH88" s="3"/>
    </row>
    <row r="89" spans="1:34" ht="31.5">
      <c r="A89" s="41"/>
      <c r="B89" s="56" t="str">
        <f ca="1">OFFSET(L!$C$1,MATCH("Declaration"&amp;ADDRESS(ROW(),COLUMN(),4),L!$A:$A,0)-1,SL,,)&amp;$Q$37</f>
        <v>H. Ist Ihr Unternehmen zu einer jährlichen Offenlegung der Konfliktmineralien verpflichtet? (*)</v>
      </c>
      <c r="C89" s="57"/>
      <c r="D89" s="355" t="s">
        <v>489</v>
      </c>
      <c r="E89" s="356"/>
      <c r="F89" s="57"/>
      <c r="G89" s="357"/>
      <c r="H89" s="358"/>
      <c r="I89" s="358"/>
      <c r="J89" s="359"/>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67" t="str">
        <f>IF(OR($D$8="",$I$3=""),"","Click here to check required fields completion")</f>
        <v/>
      </c>
      <c r="C90" s="367"/>
      <c r="D90" s="367"/>
      <c r="E90" s="367"/>
      <c r="F90" s="367"/>
      <c r="G90" s="367"/>
      <c r="H90" s="367"/>
      <c r="I90" s="367"/>
      <c r="J90" s="367"/>
      <c r="K90" s="36"/>
      <c r="L90" s="100"/>
      <c r="P90" s="3"/>
      <c r="Q90" s="3"/>
      <c r="R90" s="3"/>
      <c r="S90" s="3"/>
      <c r="T90" s="3"/>
      <c r="U90" s="3"/>
      <c r="V90" s="3"/>
      <c r="W90" s="3"/>
      <c r="X90" s="3"/>
      <c r="Y90" s="3"/>
      <c r="Z90" s="3"/>
      <c r="AA90" s="3"/>
      <c r="AB90" s="3"/>
      <c r="AC90" s="3"/>
      <c r="AD90" s="3"/>
      <c r="AE90" s="3"/>
      <c r="AF90" s="3"/>
      <c r="AG90" s="3"/>
      <c r="AH90" s="3"/>
    </row>
    <row r="91" spans="1:34" ht="15.75" thickBot="1">
      <c r="A91" s="365" t="str">
        <f ca="1">OFFSET(L!$C$1,MATCH("General"&amp;"Cpy",L!$A:$A,0)-1,SL,,)</f>
        <v>© 2023 Responsible Minerals Initiative. All rights reserved.</v>
      </c>
      <c r="B91" s="366"/>
      <c r="C91" s="366"/>
      <c r="D91" s="366"/>
      <c r="E91" s="366"/>
      <c r="F91" s="366"/>
      <c r="G91" s="366"/>
      <c r="H91" s="366"/>
      <c r="I91" s="366"/>
      <c r="J91" s="366"/>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Yes</v>
      </c>
      <c r="E96" s="282" t="str">
        <f>IF(AND(OR($D$26="Yes",$D$26=""),OR($D$32="Yes",$D$32="")),"100%","")</f>
        <v>100%</v>
      </c>
      <c r="G96" s="282" t="str">
        <f>IF(OR($D$26="Yes",$D$26=""),"Yes","")</f>
        <v>Yes</v>
      </c>
    </row>
    <row r="97" spans="2:7" ht="13.5" hidden="1" customHeight="1">
      <c r="B97" s="56" t="s">
        <v>489</v>
      </c>
      <c r="D97" s="282" t="str">
        <f>IF(AND(OR($D$26="Yes",$D$26=""),OR($D$32="Yes",$D$32="")),"No","")</f>
        <v>No</v>
      </c>
      <c r="E97" s="282" t="str">
        <f>IF(AND(OR($D$26="Yes",$D$26=""),OR($D$32="Yes",$D$32="")),"Greater than 90%","")</f>
        <v>Greater than 90%</v>
      </c>
      <c r="G97" s="282" t="str">
        <f>IF(OR($D$26="Yes",$D$26=""),"No","")</f>
        <v>No</v>
      </c>
    </row>
    <row r="98" spans="2:7" ht="15.75" hidden="1">
      <c r="B98" s="56" t="s">
        <v>490</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2480</v>
      </c>
      <c r="D100" s="282" t="str">
        <f>IF(AND(OR($D$27="Yes",$D$27=""),OR($D$33="Yes",$D$33="")),"No","")</f>
        <v>No</v>
      </c>
      <c r="E100" s="282" t="str">
        <f>IF(AND(OR($D$26="Yes",$D$26=""),OR($D$32="Yes",$D$32="")),"50% or less","")</f>
        <v>50% or less</v>
      </c>
      <c r="G100" s="282" t="str">
        <f>IF(OR($D$28="Yes",$D$28=""),"Yes","")</f>
        <v>Yes</v>
      </c>
    </row>
    <row r="101" spans="2:7" ht="15.75" hidden="1">
      <c r="B101" s="236" t="s">
        <v>2481</v>
      </c>
      <c r="D101" s="282" t="str">
        <f>IF(AND(OR($D$27="Yes",$D$27=""),OR($D$33="Yes",$D$33="")),"Unknown","")</f>
        <v>Unknown</v>
      </c>
      <c r="E101" s="282" t="str">
        <f>IF(AND(OR($D$26="Yes",$D$26=""),OR($D$32="Yes",$D$32="")),"None","")</f>
        <v>None</v>
      </c>
      <c r="G101" s="282" t="str">
        <f>IF(OR($D$28="Yes",$D$28=""),"No","")</f>
        <v>No</v>
      </c>
    </row>
    <row r="102" spans="2:7" ht="15.75" hidden="1">
      <c r="B102" s="236" t="s">
        <v>2482</v>
      </c>
      <c r="D102" s="282" t="str">
        <f>IF(AND(OR($D$28="Yes",$D$28=""),OR($D$34="Yes",$D$34="")),"Yes","")</f>
        <v>Yes</v>
      </c>
      <c r="E102" s="282" t="str">
        <f>IF(AND(OR($D$27="Yes",$D$27=""),OR($D$33="Yes",$D$33="")),"100%","")</f>
        <v>100%</v>
      </c>
      <c r="G102" s="282" t="str">
        <f>IF(OR($D$29="Yes",$D$29=""),"Yes","")</f>
        <v>Yes</v>
      </c>
    </row>
    <row r="103" spans="2:7" ht="15.75" hidden="1">
      <c r="B103" s="236" t="s">
        <v>2483</v>
      </c>
      <c r="D103" s="282" t="str">
        <f>IF(AND(OR($D$28="Yes",$D$28=""),OR($D$34="Yes",$D$34="")),"No","")</f>
        <v>No</v>
      </c>
      <c r="E103" s="282" t="str">
        <f>IF(AND(OR($D$27="Yes",$D$27=""),OR($D$33="Yes",$D$33="")),"Greater than 90%","")</f>
        <v>Greater than 90%</v>
      </c>
      <c r="G103" s="282" t="str">
        <f>IF(OR($D$29="Yes",$D$29=""),"No","")</f>
        <v>No</v>
      </c>
    </row>
    <row r="104" spans="2:7" ht="15.75" hidden="1">
      <c r="B104" s="236" t="s">
        <v>491</v>
      </c>
      <c r="D104" s="282" t="str">
        <f>IF(AND(OR($D$28="Yes",$D$28=""),OR($D$34="Yes",$D$34="")),"Unknown","")</f>
        <v>Unknown</v>
      </c>
      <c r="E104" s="282" t="str">
        <f>IF(AND(OR($D$27="Yes",$D$27=""),OR($D$33="Yes",$D$33="")),"Greater than 75%","")</f>
        <v>Greater than 75%</v>
      </c>
    </row>
    <row r="105" spans="2:7" ht="15.75" hidden="1">
      <c r="B105" s="236" t="s">
        <v>14982</v>
      </c>
      <c r="D105" s="282" t="str">
        <f>IF(AND(OR($D$29="Yes",$D$29=""),OR($D$35="Yes",$D$35="")),"Yes","")</f>
        <v>Yes</v>
      </c>
      <c r="E105" s="282" t="str">
        <f>IF(AND(OR($D$27="Yes",$D$27=""),OR($D$33="Yes",$D$33="")),"Greater than 50%","")</f>
        <v>Greater than 50%</v>
      </c>
    </row>
    <row r="106" spans="2:7" ht="15.75" hidden="1">
      <c r="B106" s="236" t="s">
        <v>12394</v>
      </c>
      <c r="D106" s="282" t="str">
        <f>IF(AND(OR($D$29="Yes",$D$29=""),OR($D$35="Yes",$D$35="")),"No","")</f>
        <v>No</v>
      </c>
      <c r="E106" s="282" t="str">
        <f>IF(AND(OR($D$27="Yes",$D$27=""),OR($D$33="Yes",$D$33="")),"50% or less","")</f>
        <v>50% or less</v>
      </c>
    </row>
    <row r="107" spans="2:7" ht="15.75" hidden="1">
      <c r="B107" s="236" t="s">
        <v>489</v>
      </c>
      <c r="D107" s="282" t="str">
        <f>IF(AND(OR($D$29="Yes",$D$29=""),OR($D$35="Yes",$D$35="")),"Unknown","")</f>
        <v>Unknown</v>
      </c>
      <c r="E107" s="282" t="str">
        <f>IF(AND(OR($D$27="Yes",$D$27=""),OR($D$33="Yes",$D$33="")),"None","")</f>
        <v>None</v>
      </c>
    </row>
    <row r="108" spans="2:7" ht="15.75" hidden="1">
      <c r="B108" s="236" t="s">
        <v>13974</v>
      </c>
      <c r="E108" s="282" t="str">
        <f>IF(AND(OR($D$28="Yes",$D$28=""),OR($D$34="Yes",$D$34="")),"100%","")</f>
        <v>100%</v>
      </c>
    </row>
    <row r="109" spans="2:7" ht="15.75" hidden="1">
      <c r="B109" s="236" t="s">
        <v>13976</v>
      </c>
      <c r="E109" s="282" t="str">
        <f>IF(AND(OR($D$28="Yes",$D$28=""),OR($D$34="Yes",$D$34="")),"Greater than 90%","")</f>
        <v>Greater than 90%</v>
      </c>
    </row>
    <row r="110" spans="2:7" ht="15.75" hidden="1">
      <c r="B110" s="236" t="s">
        <v>13977</v>
      </c>
      <c r="E110" s="282" t="str">
        <f>IF(AND(OR($D$28="Yes",$D$28=""),OR($D$34="Yes",$D$34="")),"Greater than 75%","")</f>
        <v>Greater than 75%</v>
      </c>
    </row>
    <row r="111" spans="2:7" ht="15.7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C2150E3E-21B6-477C-866E-7F10E9583284}"/>
    <hyperlink ref="D20" r:id="rId4" xr:uid="{D77D1E19-F92D-4C7F-900A-F36A018B311E}"/>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70" zoomScaleNormal="70" zoomScalePageLayoutView="55" workbookViewId="0">
      <selection activeCell="B6" sqref="B6"/>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3.5"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UM ZU BEGINNEN:</v>
      </c>
      <c r="C2" s="172"/>
      <c r="D2" s="172"/>
      <c r="E2" s="172"/>
      <c r="F2" s="193"/>
      <c r="G2" s="193"/>
      <c r="H2" s="193"/>
      <c r="I2" s="194"/>
      <c r="J2" s="416" t="str">
        <f ca="1">OFFSET(L!$C$1,MATCH("Smelter List"&amp;ADDRESS(ROW(),COLUMN(),4),L!$A:$A,0)-1,SL,,)</f>
        <v>Link zur "RMAP Conformant Smelter"- Liste</v>
      </c>
      <c r="K2" s="417"/>
      <c r="L2" s="417"/>
      <c r="M2" s="417"/>
      <c r="N2" s="417"/>
      <c r="O2" s="417"/>
      <c r="P2" s="195"/>
      <c r="Q2" s="196"/>
      <c r="R2" s="197"/>
      <c r="S2" s="197"/>
      <c r="T2" s="197"/>
      <c r="AH2" s="145" t="s">
        <v>488</v>
      </c>
    </row>
    <row r="3" spans="1:34" s="221" customFormat="1" ht="38.25">
      <c r="A3" s="171"/>
      <c r="B3" s="418" t="str">
        <f ca="1">OFFSET(L!$C$1,MATCH("Smelter List"&amp;ADDRESS(ROW(),COLUMN(),4),L!$A:$A,0)-1,SL,,)</f>
        <v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v>
      </c>
      <c r="C3" s="418"/>
      <c r="D3" s="418"/>
      <c r="E3" s="418"/>
      <c r="F3" s="222"/>
      <c r="G3" s="419" t="str">
        <f ca="1">OFFSET(L!$C$1,MATCH("General"&amp;"Cpy",L!$A:$A,0)-1,SL,,)</f>
        <v>© 2023 Responsible Minerals Initiative. All rights reserved.</v>
      </c>
      <c r="H3" s="419"/>
      <c r="I3" s="420"/>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 xml:space="preserve">Eingabespalte Schmelzhüttenidentifizierungsnummer </v>
      </c>
      <c r="B4" s="216" t="str">
        <f ca="1">OFFSET(L!$C$1,MATCH("Smelter List"&amp;ADDRESS(ROW(),COLUMN(),4),L!$A:$A,0)-1,SL,,)</f>
        <v>Metall (1)</v>
      </c>
      <c r="C4" s="216" t="str">
        <f ca="1">OFFSET(L!$C$1,MATCH("Smelter List"&amp;ADDRESS(ROW(),COLUMN(),4),L!$A:$A,0)-1,SL,,)</f>
        <v>Schmelzhüttensuche (*)</v>
      </c>
      <c r="D4" s="216" t="str">
        <f ca="1">OFFSET(L!$C$1,MATCH("Smelter List"&amp;ADDRESS(ROW(),COLUMN(),4),L!$A:$A,0)-1,SL,,)</f>
        <v>Schmelzhüttenname (1)</v>
      </c>
      <c r="E4" s="216" t="str">
        <f ca="1">OFFSET(L!$C$1,MATCH("Smelter List"&amp;ADDRESS(ROW(),COLUMN(),4),L!$A:$A,0)-1,SL,,)</f>
        <v>Schmelzhütten: Land (*)</v>
      </c>
      <c r="F4" s="216" t="str">
        <f ca="1">OFFSET(L!$C$1,MATCH("Smelter List"&amp;ADDRESS(ROW(),COLUMN(),4),L!$A:$A,0)-1,SL,,)</f>
        <v>Schmelzhütte Identifizierung</v>
      </c>
      <c r="G4" s="216" t="str">
        <f ca="1">OFFSET(L!$C$1,MATCH("Smelter List"&amp;ADDRESS(ROW(),COLUMN(),4),L!$A:$A,0)-1,SL,,)</f>
        <v>Quelle der Schmelzhütte Id-Nummer</v>
      </c>
      <c r="H4" s="144" t="str">
        <f ca="1">OFFSET(L!$C$1,MATCH("Smelter List"&amp;ADDRESS(ROW(),COLUMN(),4),L!$A:$A,0)-1,SL,,)</f>
        <v>Schmelzhütten: Straße</v>
      </c>
      <c r="I4" s="144" t="str">
        <f ca="1">OFFSET(L!$C$1,MATCH("Smelter List"&amp;ADDRESS(ROW(),COLUMN(),4),L!$A:$A,0)-1,SL,,)</f>
        <v>Schmelzhütten: Stadt</v>
      </c>
      <c r="J4" s="144" t="str">
        <f ca="1">OFFSET(L!$C$1,MATCH("Smelter List"&amp;ADDRESS(ROW(),COLUMN(),4),L!$A:$A,0)-1,SL,,)</f>
        <v>Schmelzhütten: Bundesland/Provinz</v>
      </c>
      <c r="K4" s="144" t="str">
        <f ca="1">OFFSET(L!$C$1,MATCH("Smelter List"&amp;ADDRESS(ROW(),COLUMN(),4),L!$A:$A,0)-1,SL,,)</f>
        <v xml:space="preserve">Schmelzhütten-Ansprechpartner: Name </v>
      </c>
      <c r="L4" s="144" t="str">
        <f ca="1">OFFSET(L!$C$1,MATCH("Smelter List"&amp;ADDRESS(ROW(),COLUMN(),4),L!$A:$A,0)-1,SL,,)</f>
        <v>Schmelzhütten-Ansprechpartner: E-mail</v>
      </c>
      <c r="M4" s="144" t="str">
        <f ca="1">OFFSET(L!$C$1,MATCH("Smelter List"&amp;ADDRESS(ROW(),COLUMN(),4),L!$A:$A,0)-1,SL,,)</f>
        <v>Vorgeschlagenen nächsten Schritte</v>
      </c>
      <c r="N4" s="144" t="str">
        <f ca="1">OFFSET(L!$C$1,MATCH("Smelter List"&amp;ADDRESS(ROW(),COLUMN(),4),L!$A:$A,0)-1,SL,,)</f>
        <v>Name der Mine(n) oder falls aus Recycling oder Schrott, tragen Sie "recycled" oder "Schrott" ein</v>
      </c>
      <c r="O4" s="144" t="str">
        <f ca="1">OFFSET(L!$C$1,MATCH("Smelter List"&amp;ADDRESS(ROW(),COLUMN(),4),L!$A:$A,0)-1,SL,,)</f>
        <v>Standort (Land) von Minen, falls aus Recycling oder Schrott gekauft, geben Sie "recycled" oder "Schrott" ein</v>
      </c>
      <c r="P4" s="144" t="str">
        <f ca="1">OFFSET(L!$C$1,MATCH("Smelter List"&amp;ADDRESS(ROW(),COLUMN(),4),L!$A:$A,0)-1,SL,,)</f>
        <v>Stammen 100% der Ausgangsstoffe der Schmelzhütte aus Recycling oder Schrott?</v>
      </c>
      <c r="Q4" s="145" t="str">
        <f ca="1">OFFSET(L!$C$1,MATCH("Smelter List"&amp;ADDRESS(ROW(),COLUMN(),4),L!$A:$A,0)-1,SL,,)</f>
        <v>Kommentare</v>
      </c>
      <c r="R4" s="216" t="s">
        <v>12420</v>
      </c>
      <c r="S4" s="216" t="s">
        <v>12403</v>
      </c>
      <c r="T4" s="216" t="s">
        <v>12404</v>
      </c>
      <c r="U4" s="200"/>
      <c r="W4" s="159" t="s">
        <v>1319</v>
      </c>
      <c r="X4" s="159" t="s">
        <v>938</v>
      </c>
      <c r="AH4" s="145" t="s">
        <v>490</v>
      </c>
    </row>
    <row r="5" spans="1:34" s="227" customFormat="1" ht="38.25">
      <c r="A5" s="262" t="s">
        <v>788</v>
      </c>
      <c r="B5" s="182" t="s">
        <v>1128</v>
      </c>
      <c r="C5" s="186" t="s">
        <v>13809</v>
      </c>
      <c r="D5" s="230"/>
      <c r="E5" s="182" t="s">
        <v>1104</v>
      </c>
      <c r="F5" s="182" t="s">
        <v>788</v>
      </c>
      <c r="G5" s="182" t="s">
        <v>13240</v>
      </c>
      <c r="H5" s="183">
        <v>0</v>
      </c>
      <c r="I5" s="184" t="s">
        <v>2132</v>
      </c>
      <c r="J5" s="184" t="s">
        <v>2133</v>
      </c>
      <c r="K5" s="224"/>
      <c r="L5" s="224"/>
      <c r="M5" s="224"/>
      <c r="N5" s="224"/>
      <c r="O5" s="224"/>
      <c r="P5" s="185"/>
      <c r="Q5" s="225"/>
      <c r="R5" s="182" t="str">
        <f ca="1">IF(ISERROR($V5),"",OFFSET('Smelter Look-up'!$C$4,$V5-4,0)&amp;"")</f>
        <v>A.L.M.T. Corp.</v>
      </c>
      <c r="S5" s="181" t="str">
        <f t="shared" ref="S5" ca="1" si="0">IF(B5="","",IF(ISERROR(MATCH($E5,CL,0)),"Unknown",INDIRECT("'C'!$A$"&amp;MATCH($E5,CL,0)+1)))</f>
        <v>JP</v>
      </c>
      <c r="T5" s="181" t="str">
        <f ca="1">IF(B5="","",IF(ISERROR(MATCH($J5,SorP!$B$1:$B$6279,0)),"",INDIRECT("'SorP'!$A$"&amp;MATCH($S5&amp;$J5,SorP!C:C,0))))</f>
        <v>JP-16</v>
      </c>
      <c r="U5" s="201"/>
      <c r="V5" s="226">
        <f>IF(C5="",NA(),IF(OR(C5="Smelter not listed",C5="Smelter not yet identified"),MATCH($B5&amp;$D5,'Smelter Look-up'!$J:$J,0),MATCH($B5&amp;$C5,'Smelter Look-up'!$J:$J,0)))</f>
        <v>557</v>
      </c>
      <c r="X5" s="227">
        <f t="shared" ref="X5" si="1">IF(AND(C5="Smelter not listed",OR(LEN(D5)=0,LEN(E5)=0)),1,0)</f>
        <v>0</v>
      </c>
      <c r="AB5" s="228" t="str">
        <f t="shared" ref="AB5" si="2">B5&amp;C5</f>
        <v>TungstenA.L.M.T. Corp.</v>
      </c>
    </row>
    <row r="6" spans="1:34" s="227" customFormat="1" ht="76.5">
      <c r="A6" s="262" t="s">
        <v>1380</v>
      </c>
      <c r="B6" s="182" t="s">
        <v>1125</v>
      </c>
      <c r="C6" s="186" t="s">
        <v>1379</v>
      </c>
      <c r="D6" s="230"/>
      <c r="E6" s="182" t="s">
        <v>2432</v>
      </c>
      <c r="F6" s="182" t="s">
        <v>1380</v>
      </c>
      <c r="G6" s="182" t="s">
        <v>13240</v>
      </c>
      <c r="H6" s="183" t="s">
        <v>15802</v>
      </c>
      <c r="I6" s="184" t="s">
        <v>1538</v>
      </c>
      <c r="J6" s="184" t="s">
        <v>1539</v>
      </c>
      <c r="K6" s="224" t="s">
        <v>15802</v>
      </c>
      <c r="L6" s="224" t="s">
        <v>15802</v>
      </c>
      <c r="M6" s="224" t="s">
        <v>15802</v>
      </c>
      <c r="N6" s="224" t="s">
        <v>15802</v>
      </c>
      <c r="O6" s="224" t="s">
        <v>15886</v>
      </c>
      <c r="P6" s="185" t="s">
        <v>489</v>
      </c>
      <c r="Q6" s="225" t="s">
        <v>15802</v>
      </c>
      <c r="R6" s="182" t="str">
        <f ca="1">IF(ISERROR($V6),"",OFFSET('Smelter Look-up'!$C$4,$V6-4,0)&amp;"")</f>
        <v>Advanced Chemical Company</v>
      </c>
      <c r="S6" s="181" t="str">
        <f t="shared" ref="S6:S37" ca="1" si="3">IF(B6="","",IF(ISERROR(MATCH($E6,CL,0)),"Unknown",INDIRECT("'C'!$A$"&amp;MATCH($E6,CL,0)+1)))</f>
        <v>US</v>
      </c>
      <c r="T6" s="181" t="str">
        <f ca="1">IF(B6="","",IF(ISERROR(MATCH($J6,SorP!$B$1:$B$6279,0)),"",INDIRECT("'SorP'!$A$"&amp;MATCH($S6&amp;$J6,SorP!C:C,0))))</f>
        <v>US-RI</v>
      </c>
      <c r="U6" s="201"/>
      <c r="V6" s="226">
        <f>IF(C6="",NA(),IF(OR(C6="Smelter not listed",C6="Smelter not yet identified"),MATCH($B6&amp;$D6,'Smelter Look-up'!$J:$J,0),MATCH($B6&amp;$C6,'Smelter Look-up'!$J:$J,0)))</f>
        <v>8</v>
      </c>
      <c r="X6" s="227">
        <f t="shared" ref="X6:X37" si="4">IF(AND(C6="Smelter not listed",OR(LEN(D6)=0,LEN(E6)=0)),1,0)</f>
        <v>0</v>
      </c>
      <c r="AB6" s="228" t="str">
        <f t="shared" ref="AB6:AB37" si="5">B6&amp;C6</f>
        <v>GoldAdvanced Chemical Company</v>
      </c>
    </row>
    <row r="7" spans="1:34" s="227" customFormat="1" ht="76.5">
      <c r="A7" s="262" t="s">
        <v>650</v>
      </c>
      <c r="B7" s="182" t="s">
        <v>1125</v>
      </c>
      <c r="C7" s="186" t="s">
        <v>2140</v>
      </c>
      <c r="D7" s="230"/>
      <c r="E7" s="182" t="s">
        <v>1104</v>
      </c>
      <c r="F7" s="182" t="s">
        <v>650</v>
      </c>
      <c r="G7" s="182" t="s">
        <v>13240</v>
      </c>
      <c r="H7" s="183" t="s">
        <v>15802</v>
      </c>
      <c r="I7" s="184" t="s">
        <v>1540</v>
      </c>
      <c r="J7" s="184" t="s">
        <v>1541</v>
      </c>
      <c r="K7" s="224" t="s">
        <v>15802</v>
      </c>
      <c r="L7" s="224" t="s">
        <v>15802</v>
      </c>
      <c r="M7" s="224" t="s">
        <v>15802</v>
      </c>
      <c r="N7" s="224" t="s">
        <v>15802</v>
      </c>
      <c r="O7" s="224" t="s">
        <v>15891</v>
      </c>
      <c r="P7" s="185" t="s">
        <v>488</v>
      </c>
      <c r="Q7" s="225" t="s">
        <v>15802</v>
      </c>
      <c r="R7" s="182" t="str">
        <f ca="1">IF(ISERROR($V7),"",OFFSET('Smelter Look-up'!$C$4,$V7-4,0)&amp;"")</f>
        <v>Aida Chemical Industries Co., Ltd.</v>
      </c>
      <c r="S7" s="181" t="str">
        <f t="shared" ca="1" si="3"/>
        <v>JP</v>
      </c>
      <c r="T7" s="181" t="str">
        <f ca="1">IF(B7="","",IF(ISERROR(MATCH($J7,SorP!$B$1:$B$6279,0)),"",INDIRECT("'SorP'!$A$"&amp;MATCH($S7&amp;$J7,SorP!C:C,0))))</f>
        <v>JP-13</v>
      </c>
      <c r="U7" s="201"/>
      <c r="V7" s="226">
        <f>IF(C7="",NA(),IF(OR(C7="Smelter not listed",C7="Smelter not yet identified"),MATCH($B7&amp;$D7,'Smelter Look-up'!$J:$J,0),MATCH($B7&amp;$C7,'Smelter Look-up'!$J:$J,0)))</f>
        <v>13</v>
      </c>
      <c r="X7" s="227">
        <f t="shared" si="4"/>
        <v>0</v>
      </c>
      <c r="AB7" s="228" t="str">
        <f t="shared" si="5"/>
        <v>GoldAida Chemical Industries Co., Ltd.</v>
      </c>
    </row>
    <row r="8" spans="1:34" s="227" customFormat="1" ht="25.5">
      <c r="A8" s="262" t="s">
        <v>651</v>
      </c>
      <c r="B8" s="182" t="s">
        <v>1125</v>
      </c>
      <c r="C8" s="186" t="s">
        <v>15441</v>
      </c>
      <c r="D8" s="230"/>
      <c r="E8" s="182" t="s">
        <v>1097</v>
      </c>
      <c r="F8" s="182" t="s">
        <v>651</v>
      </c>
      <c r="G8" s="182" t="s">
        <v>13240</v>
      </c>
      <c r="H8" s="183">
        <v>0</v>
      </c>
      <c r="I8" s="184" t="s">
        <v>1542</v>
      </c>
      <c r="J8" s="184" t="s">
        <v>1543</v>
      </c>
      <c r="K8" s="224"/>
      <c r="L8" s="224"/>
      <c r="M8" s="224"/>
      <c r="N8" s="224"/>
      <c r="O8" s="224"/>
      <c r="P8" s="185"/>
      <c r="Q8" s="225"/>
      <c r="R8" s="182" t="str">
        <f ca="1">IF(ISERROR($V8),"",OFFSET('Smelter Look-up'!$C$4,$V8-4,0)&amp;"")</f>
        <v>Agosi AG</v>
      </c>
      <c r="S8" s="181" t="str">
        <f t="shared" ca="1" si="3"/>
        <v>DE</v>
      </c>
      <c r="T8" s="181" t="str">
        <f ca="1">IF(B8="","",IF(ISERROR(MATCH($J8,SorP!$B$1:$B$6279,0)),"",INDIRECT("'SorP'!$A$"&amp;MATCH($S8&amp;$J8,SorP!C:C,0))))</f>
        <v>DE-BW</v>
      </c>
      <c r="U8" s="201"/>
      <c r="V8" s="226">
        <f>IF(C8="",NA(),IF(OR(C8="Smelter not listed",C8="Smelter not yet identified"),MATCH($B8&amp;$D8,'Smelter Look-up'!$J:$J,0),MATCH($B8&amp;$C8,'Smelter Look-up'!$J:$J,0)))</f>
        <v>10</v>
      </c>
      <c r="X8" s="227">
        <f t="shared" si="4"/>
        <v>0</v>
      </c>
      <c r="AB8" s="228" t="str">
        <f t="shared" si="5"/>
        <v>GoldAgosi AG</v>
      </c>
    </row>
    <row r="9" spans="1:34" s="227" customFormat="1" ht="102">
      <c r="A9" s="262" t="s">
        <v>652</v>
      </c>
      <c r="B9" s="182" t="s">
        <v>1125</v>
      </c>
      <c r="C9" s="186" t="s">
        <v>624</v>
      </c>
      <c r="D9" s="230"/>
      <c r="E9" s="182" t="s">
        <v>887</v>
      </c>
      <c r="F9" s="182" t="s">
        <v>652</v>
      </c>
      <c r="G9" s="182" t="s">
        <v>13240</v>
      </c>
      <c r="H9" s="183">
        <v>0</v>
      </c>
      <c r="I9" s="184" t="s">
        <v>1544</v>
      </c>
      <c r="J9" s="184" t="s">
        <v>12014</v>
      </c>
      <c r="K9" s="224"/>
      <c r="L9" s="224"/>
      <c r="M9" s="224"/>
      <c r="N9" s="224"/>
      <c r="O9" s="224"/>
      <c r="P9" s="185"/>
      <c r="Q9" s="225"/>
      <c r="R9" s="182" t="str">
        <f ca="1">IF(ISERROR($V9),"",OFFSET('Smelter Look-up'!$C$4,$V9-4,0)&amp;"")</f>
        <v>Almalyk Mining and Metallurgical Complex (AMMC)</v>
      </c>
      <c r="S9" s="181" t="str">
        <f t="shared" ca="1" si="3"/>
        <v>UZ</v>
      </c>
      <c r="T9" s="181" t="str">
        <f ca="1">IF(B9="","",IF(ISERROR(MATCH($J9,SorP!$B$1:$B$6279,0)),"",INDIRECT("'SorP'!$A$"&amp;MATCH($S9&amp;$J9,SorP!C:C,0))))</f>
        <v>UZ-TO</v>
      </c>
      <c r="U9" s="201"/>
      <c r="V9" s="226">
        <f>IF(C9="",NA(),IF(OR(C9="Smelter not listed",C9="Smelter not yet identified"),MATCH($B9&amp;$D9,'Smelter Look-up'!$J:$J,0),MATCH($B9&amp;$C9,'Smelter Look-up'!$J:$J,0)))</f>
        <v>20</v>
      </c>
      <c r="X9" s="227">
        <f t="shared" si="4"/>
        <v>0</v>
      </c>
      <c r="AB9" s="228" t="str">
        <f t="shared" si="5"/>
        <v>GoldAlmalyk Mining and Metallurgical Complex (AMMC)</v>
      </c>
    </row>
    <row r="10" spans="1:34" s="227" customFormat="1" ht="89.25">
      <c r="A10" s="262" t="s">
        <v>653</v>
      </c>
      <c r="B10" s="182" t="s">
        <v>1125</v>
      </c>
      <c r="C10" s="186" t="s">
        <v>12428</v>
      </c>
      <c r="D10" s="230"/>
      <c r="E10" s="182" t="s">
        <v>1092</v>
      </c>
      <c r="F10" s="182" t="s">
        <v>653</v>
      </c>
      <c r="G10" s="182" t="s">
        <v>13240</v>
      </c>
      <c r="H10" s="183">
        <v>0</v>
      </c>
      <c r="I10" s="184" t="s">
        <v>1546</v>
      </c>
      <c r="J10" s="184" t="s">
        <v>1547</v>
      </c>
      <c r="K10" s="224"/>
      <c r="L10" s="224"/>
      <c r="M10" s="224"/>
      <c r="N10" s="224"/>
      <c r="O10" s="224"/>
      <c r="P10" s="185"/>
      <c r="Q10" s="225"/>
      <c r="R10" s="182" t="str">
        <f ca="1">IF(ISERROR($V10),"",OFFSET('Smelter Look-up'!$C$4,$V10-4,0)&amp;"")</f>
        <v>AngloGold Ashanti Corrego do Sitio Mineracao</v>
      </c>
      <c r="S10" s="181" t="str">
        <f t="shared" ca="1" si="3"/>
        <v>BR</v>
      </c>
      <c r="T10" s="181" t="str">
        <f ca="1">IF(B10="","",IF(ISERROR(MATCH($J10,SorP!$B$1:$B$6279,0)),"",INDIRECT("'SorP'!$A$"&amp;MATCH($S10&amp;$J10,SorP!C:C,0))))</f>
        <v>BR-MG</v>
      </c>
      <c r="U10" s="201"/>
      <c r="V10" s="226">
        <f>IF(C10="",NA(),IF(OR(C10="Smelter not listed",C10="Smelter not yet identified"),MATCH($B10&amp;$D10,'Smelter Look-up'!$J:$J,0),MATCH($B10&amp;$C10,'Smelter Look-up'!$J:$J,0)))</f>
        <v>23</v>
      </c>
      <c r="X10" s="227">
        <f t="shared" si="4"/>
        <v>0</v>
      </c>
      <c r="AB10" s="228" t="str">
        <f t="shared" si="5"/>
        <v>GoldAngloGold Ashanti Corrego do Sitio Mineracao</v>
      </c>
    </row>
    <row r="11" spans="1:34" s="227" customFormat="1" ht="51">
      <c r="A11" s="262" t="s">
        <v>654</v>
      </c>
      <c r="B11" s="182" t="s">
        <v>1125</v>
      </c>
      <c r="C11" s="186" t="s">
        <v>2284</v>
      </c>
      <c r="D11" s="230"/>
      <c r="E11" s="182" t="s">
        <v>1094</v>
      </c>
      <c r="F11" s="182" t="s">
        <v>654</v>
      </c>
      <c r="G11" s="182" t="s">
        <v>13240</v>
      </c>
      <c r="H11" s="183">
        <v>0</v>
      </c>
      <c r="I11" s="184" t="s">
        <v>1548</v>
      </c>
      <c r="J11" s="184" t="s">
        <v>1549</v>
      </c>
      <c r="K11" s="224"/>
      <c r="L11" s="224"/>
      <c r="M11" s="224"/>
      <c r="N11" s="224" t="s">
        <v>15897</v>
      </c>
      <c r="O11" s="224" t="s">
        <v>15898</v>
      </c>
      <c r="P11" s="185" t="s">
        <v>489</v>
      </c>
      <c r="Q11" s="225" t="s">
        <v>15899</v>
      </c>
      <c r="R11" s="182" t="str">
        <f ca="1">IF(ISERROR($V11),"",OFFSET('Smelter Look-up'!$C$4,$V11-4,0)&amp;"")</f>
        <v>Argor-Heraeus S.A.</v>
      </c>
      <c r="S11" s="181" t="str">
        <f t="shared" ca="1" si="3"/>
        <v>CH</v>
      </c>
      <c r="T11" s="181" t="str">
        <f ca="1">IF(B11="","",IF(ISERROR(MATCH($J11,SorP!$B$1:$B$6279,0)),"",INDIRECT("'SorP'!$A$"&amp;MATCH($S11&amp;$J11,SorP!C:C,0))))</f>
        <v>CH-TI</v>
      </c>
      <c r="U11" s="201"/>
      <c r="V11" s="226">
        <f>IF(C11="",NA(),IF(OR(C11="Smelter not listed",C11="Smelter not yet identified"),MATCH($B11&amp;$D11,'Smelter Look-up'!$J:$J,0),MATCH($B11&amp;$C11,'Smelter Look-up'!$J:$J,0)))</f>
        <v>28</v>
      </c>
      <c r="X11" s="227">
        <f t="shared" si="4"/>
        <v>0</v>
      </c>
      <c r="AB11" s="228" t="str">
        <f t="shared" si="5"/>
        <v>GoldArgor-Heraeus S.A.</v>
      </c>
    </row>
    <row r="12" spans="1:34" s="227" customFormat="1" ht="51">
      <c r="A12" s="262" t="s">
        <v>655</v>
      </c>
      <c r="B12" s="182" t="s">
        <v>1125</v>
      </c>
      <c r="C12" s="186" t="s">
        <v>2285</v>
      </c>
      <c r="D12" s="230"/>
      <c r="E12" s="182" t="s">
        <v>1104</v>
      </c>
      <c r="F12" s="182" t="s">
        <v>655</v>
      </c>
      <c r="G12" s="182" t="s">
        <v>13240</v>
      </c>
      <c r="H12" s="183">
        <v>0</v>
      </c>
      <c r="I12" s="184" t="s">
        <v>1550</v>
      </c>
      <c r="J12" s="184" t="s">
        <v>1551</v>
      </c>
      <c r="K12" s="224"/>
      <c r="L12" s="224"/>
      <c r="M12" s="224"/>
      <c r="N12" s="224" t="s">
        <v>15897</v>
      </c>
      <c r="O12" s="224" t="s">
        <v>15897</v>
      </c>
      <c r="P12" s="185" t="s">
        <v>488</v>
      </c>
      <c r="Q12" s="225" t="s">
        <v>15899</v>
      </c>
      <c r="R12" s="182" t="str">
        <f ca="1">IF(ISERROR($V12),"",OFFSET('Smelter Look-up'!$C$4,$V12-4,0)&amp;"")</f>
        <v>Asahi Pretec Corp.</v>
      </c>
      <c r="S12" s="181" t="str">
        <f t="shared" ca="1" si="3"/>
        <v>JP</v>
      </c>
      <c r="T12" s="181" t="str">
        <f ca="1">IF(B12="","",IF(ISERROR(MATCH($J12,SorP!$B$1:$B$6279,0)),"",INDIRECT("'SorP'!$A$"&amp;MATCH($S12&amp;$J12,SorP!C:C,0))))</f>
        <v>JP-28</v>
      </c>
      <c r="U12" s="201"/>
      <c r="V12" s="226">
        <f>IF(C12="",NA(),IF(OR(C12="Smelter not listed",C12="Smelter not yet identified"),MATCH($B12&amp;$D12,'Smelter Look-up'!$J:$J,0),MATCH($B12&amp;$C12,'Smelter Look-up'!$J:$J,0)))</f>
        <v>29</v>
      </c>
      <c r="X12" s="227">
        <f t="shared" si="4"/>
        <v>0</v>
      </c>
      <c r="AB12" s="228" t="str">
        <f t="shared" si="5"/>
        <v>GoldAsahi Pretec Corp.</v>
      </c>
    </row>
    <row r="13" spans="1:34" s="227" customFormat="1" ht="51">
      <c r="A13" s="262" t="s">
        <v>656</v>
      </c>
      <c r="B13" s="182" t="s">
        <v>1125</v>
      </c>
      <c r="C13" s="186" t="s">
        <v>2141</v>
      </c>
      <c r="D13" s="230"/>
      <c r="E13" s="182" t="s">
        <v>1104</v>
      </c>
      <c r="F13" s="182" t="s">
        <v>656</v>
      </c>
      <c r="G13" s="182" t="s">
        <v>13240</v>
      </c>
      <c r="H13" s="183">
        <v>0</v>
      </c>
      <c r="I13" s="184" t="s">
        <v>1553</v>
      </c>
      <c r="J13" s="184" t="s">
        <v>1554</v>
      </c>
      <c r="K13" s="224"/>
      <c r="L13" s="224"/>
      <c r="M13" s="224"/>
      <c r="N13" s="224" t="s">
        <v>15897</v>
      </c>
      <c r="O13" s="224" t="s">
        <v>15897</v>
      </c>
      <c r="P13" s="185" t="s">
        <v>489</v>
      </c>
      <c r="Q13" s="225" t="s">
        <v>15899</v>
      </c>
      <c r="R13" s="182" t="str">
        <f ca="1">IF(ISERROR($V13),"",OFFSET('Smelter Look-up'!$C$4,$V13-4,0)&amp;"")</f>
        <v>Asaka Riken Co., Ltd.</v>
      </c>
      <c r="S13" s="181" t="str">
        <f t="shared" ca="1" si="3"/>
        <v>JP</v>
      </c>
      <c r="T13" s="181" t="str">
        <f ca="1">IF(B13="","",IF(ISERROR(MATCH($J13,SorP!$B$1:$B$6279,0)),"",INDIRECT("'SorP'!$A$"&amp;MATCH($S13&amp;$J13,SorP!C:C,0))))</f>
        <v>JP-07</v>
      </c>
      <c r="U13" s="201"/>
      <c r="V13" s="226">
        <f>IF(C13="",NA(),IF(OR(C13="Smelter not listed",C13="Smelter not yet identified"),MATCH($B13&amp;$D13,'Smelter Look-up'!$J:$J,0),MATCH($B13&amp;$C13,'Smelter Look-up'!$J:$J,0)))</f>
        <v>32</v>
      </c>
      <c r="X13" s="227">
        <f t="shared" si="4"/>
        <v>0</v>
      </c>
      <c r="AB13" s="228" t="str">
        <f t="shared" si="5"/>
        <v>GoldAsaka Riken Co., Ltd.</v>
      </c>
    </row>
    <row r="14" spans="1:34" s="227" customFormat="1" ht="63.75">
      <c r="A14" s="262" t="s">
        <v>15832</v>
      </c>
      <c r="B14" s="182" t="s">
        <v>1127</v>
      </c>
      <c r="C14" s="186" t="s">
        <v>2141</v>
      </c>
      <c r="D14" s="230"/>
      <c r="E14" s="182" t="s">
        <v>1104</v>
      </c>
      <c r="F14" s="182" t="s">
        <v>15832</v>
      </c>
      <c r="G14" s="182" t="s">
        <v>13240</v>
      </c>
      <c r="H14" s="183">
        <v>0</v>
      </c>
      <c r="I14" s="184" t="s">
        <v>1553</v>
      </c>
      <c r="J14" s="184" t="s">
        <v>1554</v>
      </c>
      <c r="K14" s="224"/>
      <c r="L14" s="224"/>
      <c r="M14" s="224"/>
      <c r="N14" s="224"/>
      <c r="O14" s="224"/>
      <c r="P14" s="185"/>
      <c r="Q14" s="225" t="s">
        <v>15815</v>
      </c>
      <c r="R14" s="182" t="str">
        <f ca="1">IF(ISERROR($V14),"",OFFSET('Smelter Look-up'!$C$4,$V14-4,0)&amp;"")</f>
        <v/>
      </c>
      <c r="S14" s="181" t="str">
        <f t="shared" ca="1" si="3"/>
        <v>JP</v>
      </c>
      <c r="T14" s="181" t="str">
        <f ca="1">IF(B14="","",IF(ISERROR(MATCH($J14,SorP!$B$1:$B$6279,0)),"",INDIRECT("'SorP'!$A$"&amp;MATCH($S14&amp;$J14,SorP!C:C,0))))</f>
        <v>JP-07</v>
      </c>
      <c r="U14" s="201"/>
      <c r="V14" s="226" t="e">
        <f>IF(C14="",NA(),IF(OR(C14="Smelter not listed",C14="Smelter not yet identified"),MATCH($B14&amp;$D14,'Smelter Look-up'!$J:$J,0),MATCH($B14&amp;$C14,'Smelter Look-up'!$J:$J,0)))</f>
        <v>#N/A</v>
      </c>
      <c r="X14" s="227">
        <f t="shared" si="4"/>
        <v>0</v>
      </c>
      <c r="AB14" s="228" t="str">
        <f t="shared" si="5"/>
        <v>TantalumAsaka Riken Co., Ltd.</v>
      </c>
    </row>
    <row r="15" spans="1:34" s="227" customFormat="1" ht="102">
      <c r="A15" s="262" t="s">
        <v>657</v>
      </c>
      <c r="B15" s="182" t="s">
        <v>1125</v>
      </c>
      <c r="C15" s="186" t="s">
        <v>625</v>
      </c>
      <c r="D15" s="230"/>
      <c r="E15" s="182" t="s">
        <v>885</v>
      </c>
      <c r="F15" s="182" t="s">
        <v>657</v>
      </c>
      <c r="G15" s="182" t="s">
        <v>13240</v>
      </c>
      <c r="H15" s="183"/>
      <c r="I15" s="184" t="s">
        <v>1555</v>
      </c>
      <c r="J15" s="184" t="s">
        <v>11268</v>
      </c>
      <c r="K15" s="224"/>
      <c r="L15" s="224"/>
      <c r="M15" s="224"/>
      <c r="N15" s="224"/>
      <c r="O15" s="224"/>
      <c r="P15" s="185"/>
      <c r="Q15" s="225"/>
      <c r="R15" s="182" t="str">
        <f ca="1">IF(ISERROR($V15),"",OFFSET('Smelter Look-up'!$C$4,$V15-4,0)&amp;"")</f>
        <v>Atasay Kuyumculuk Sanayi Ve Ticaret A.S.</v>
      </c>
      <c r="S15" s="181" t="str">
        <f t="shared" ca="1" si="3"/>
        <v>TR</v>
      </c>
      <c r="T15" s="181" t="str">
        <f ca="1">IF(B15="","",IF(ISERROR(MATCH($J15,SorP!$B$1:$B$6279,0)),"",INDIRECT("'SorP'!$A$"&amp;MATCH($S15&amp;$J15,SorP!C:C,0))))</f>
        <v>TR-34</v>
      </c>
      <c r="U15" s="201"/>
      <c r="V15" s="226">
        <f>IF(C15="",NA(),IF(OR(C15="Smelter not listed",C15="Smelter not yet identified"),MATCH($B15&amp;$D15,'Smelter Look-up'!$J:$J,0),MATCH($B15&amp;$C15,'Smelter Look-up'!$J:$J,0)))</f>
        <v>34</v>
      </c>
      <c r="X15" s="227">
        <f t="shared" si="4"/>
        <v>0</v>
      </c>
      <c r="AB15" s="228" t="str">
        <f t="shared" si="5"/>
        <v>GoldAtasay Kuyumculuk Sanayi Ve Ticaret A.S.</v>
      </c>
    </row>
    <row r="16" spans="1:34" s="227" customFormat="1" ht="63.75">
      <c r="A16" s="262" t="s">
        <v>789</v>
      </c>
      <c r="B16" s="182" t="s">
        <v>1128</v>
      </c>
      <c r="C16" s="186" t="s">
        <v>148</v>
      </c>
      <c r="D16" s="230"/>
      <c r="E16" s="182" t="s">
        <v>2432</v>
      </c>
      <c r="F16" s="182" t="s">
        <v>789</v>
      </c>
      <c r="G16" s="182" t="s">
        <v>13240</v>
      </c>
      <c r="H16" s="183">
        <v>0</v>
      </c>
      <c r="I16" s="184" t="s">
        <v>1822</v>
      </c>
      <c r="J16" s="184" t="s">
        <v>1823</v>
      </c>
      <c r="K16" s="224"/>
      <c r="L16" s="224"/>
      <c r="M16" s="224"/>
      <c r="N16" s="224"/>
      <c r="O16" s="224" t="s">
        <v>15900</v>
      </c>
      <c r="P16" s="185" t="s">
        <v>489</v>
      </c>
      <c r="Q16" s="225" t="s">
        <v>15901</v>
      </c>
      <c r="R16" s="182" t="str">
        <f ca="1">IF(ISERROR($V16),"",OFFSET('Smelter Look-up'!$C$4,$V16-4,0)&amp;"")</f>
        <v>Kennametal Huntsville</v>
      </c>
      <c r="S16" s="181" t="str">
        <f t="shared" ca="1" si="3"/>
        <v>US</v>
      </c>
      <c r="T16" s="181" t="str">
        <f ca="1">IF(B16="","",IF(ISERROR(MATCH($J16,SorP!$B$1:$B$6279,0)),"",INDIRECT("'SorP'!$A$"&amp;MATCH($S16&amp;$J16,SorP!C:C,0))))</f>
        <v>US-AL</v>
      </c>
      <c r="U16" s="201"/>
      <c r="V16" s="226">
        <f>IF(C16="",NA(),IF(OR(C16="Smelter not listed",C16="Smelter not yet identified"),MATCH($B16&amp;$D16,'Smelter Look-up'!$J:$J,0),MATCH($B16&amp;$C16,'Smelter Look-up'!$J:$J,0)))</f>
        <v>612</v>
      </c>
      <c r="X16" s="227">
        <f t="shared" si="4"/>
        <v>0</v>
      </c>
      <c r="AB16" s="228" t="str">
        <f t="shared" si="5"/>
        <v>TungstenKennametal Huntsville</v>
      </c>
    </row>
    <row r="17" spans="1:28" s="227" customFormat="1" ht="25.5">
      <c r="A17" s="262" t="s">
        <v>658</v>
      </c>
      <c r="B17" s="182" t="s">
        <v>1125</v>
      </c>
      <c r="C17" s="186" t="s">
        <v>1219</v>
      </c>
      <c r="D17" s="230"/>
      <c r="E17" s="182" t="s">
        <v>1097</v>
      </c>
      <c r="F17" s="182" t="s">
        <v>658</v>
      </c>
      <c r="G17" s="182" t="s">
        <v>13240</v>
      </c>
      <c r="H17" s="183">
        <v>0</v>
      </c>
      <c r="I17" s="184" t="s">
        <v>1556</v>
      </c>
      <c r="J17" s="184" t="s">
        <v>1556</v>
      </c>
      <c r="K17" s="224"/>
      <c r="L17" s="224"/>
      <c r="M17" s="224"/>
      <c r="N17" s="224"/>
      <c r="O17" s="224"/>
      <c r="P17" s="185"/>
      <c r="Q17" s="225" t="s">
        <v>15815</v>
      </c>
      <c r="R17" s="182" t="str">
        <f ca="1">IF(ISERROR($V17),"",OFFSET('Smelter Look-up'!$C$4,$V17-4,0)&amp;"")</f>
        <v>Aurubis AG</v>
      </c>
      <c r="S17" s="181" t="str">
        <f t="shared" ca="1" si="3"/>
        <v>DE</v>
      </c>
      <c r="T17" s="181" t="str">
        <f ca="1">IF(B17="","",IF(ISERROR(MATCH($J17,SorP!$B$1:$B$6279,0)),"",INDIRECT("'SorP'!$A$"&amp;MATCH($S17&amp;$J17,SorP!C:C,0))))</f>
        <v>DE-HH</v>
      </c>
      <c r="U17" s="201"/>
      <c r="V17" s="226">
        <f>IF(C17="",NA(),IF(OR(C17="Smelter not listed",C17="Smelter not yet identified"),MATCH($B17&amp;$D17,'Smelter Look-up'!$J:$J,0),MATCH($B17&amp;$C17,'Smelter Look-up'!$J:$J,0)))</f>
        <v>37</v>
      </c>
      <c r="X17" s="227">
        <f t="shared" si="4"/>
        <v>0</v>
      </c>
      <c r="AB17" s="228" t="str">
        <f t="shared" si="5"/>
        <v>GoldAurubis AG</v>
      </c>
    </row>
    <row r="18" spans="1:28" s="227" customFormat="1" ht="127.5">
      <c r="A18" s="181" t="s">
        <v>659</v>
      </c>
      <c r="B18" s="182" t="s">
        <v>1125</v>
      </c>
      <c r="C18" s="186" t="s">
        <v>900</v>
      </c>
      <c r="D18" s="230"/>
      <c r="E18" s="182" t="s">
        <v>877</v>
      </c>
      <c r="F18" s="182" t="s">
        <v>659</v>
      </c>
      <c r="G18" s="182" t="s">
        <v>13240</v>
      </c>
      <c r="H18" s="183" t="s">
        <v>15802</v>
      </c>
      <c r="I18" s="184" t="s">
        <v>2201</v>
      </c>
      <c r="J18" s="184" t="s">
        <v>9447</v>
      </c>
      <c r="K18" s="224" t="s">
        <v>15802</v>
      </c>
      <c r="L18" s="224" t="s">
        <v>15802</v>
      </c>
      <c r="M18" s="224" t="s">
        <v>15885</v>
      </c>
      <c r="N18" s="224" t="s">
        <v>15802</v>
      </c>
      <c r="O18" s="224" t="s">
        <v>490</v>
      </c>
      <c r="P18" s="185" t="s">
        <v>15802</v>
      </c>
      <c r="Q18" s="225" t="s">
        <v>15802</v>
      </c>
      <c r="R18" s="182" t="str">
        <f ca="1">IF(ISERROR($V18),"",OFFSET('Smelter Look-up'!$C$4,$V18-4,0)&amp;"")</f>
        <v>Bangko Sentral ng Pilipinas (Central Bank of the Philippines)</v>
      </c>
      <c r="S18" s="181" t="str">
        <f t="shared" ca="1" si="3"/>
        <v>PH</v>
      </c>
      <c r="T18" s="181" t="str">
        <f ca="1">IF(B18="","",IF(ISERROR(MATCH($J18,SorP!$B$1:$B$6279,0)),"",INDIRECT("'SorP'!$A$"&amp;MATCH($S18&amp;$J18,SorP!C:C,0))))</f>
        <v>PH-RIZ</v>
      </c>
      <c r="U18" s="201"/>
      <c r="V18" s="226">
        <f>IF(C18="",NA(),IF(OR(C18="Smelter not listed",C18="Smelter not yet identified"),MATCH($B18&amp;$D18,'Smelter Look-up'!$J:$J,0),MATCH($B18&amp;$C18,'Smelter Look-up'!$J:$J,0)))</f>
        <v>41</v>
      </c>
      <c r="X18" s="227">
        <f t="shared" si="4"/>
        <v>0</v>
      </c>
      <c r="AB18" s="228" t="str">
        <f t="shared" si="5"/>
        <v>GoldBangko Sentral ng Pilipinas (Central Bank of the Philippines)</v>
      </c>
    </row>
    <row r="19" spans="1:28" s="227" customFormat="1" ht="25.5">
      <c r="A19" s="181" t="s">
        <v>660</v>
      </c>
      <c r="B19" s="182" t="s">
        <v>1125</v>
      </c>
      <c r="C19" s="186" t="s">
        <v>1221</v>
      </c>
      <c r="D19" s="230"/>
      <c r="E19" s="182" t="s">
        <v>883</v>
      </c>
      <c r="F19" s="182" t="s">
        <v>660</v>
      </c>
      <c r="G19" s="182" t="s">
        <v>13240</v>
      </c>
      <c r="H19" s="183" t="s">
        <v>15802</v>
      </c>
      <c r="I19" s="184" t="s">
        <v>1558</v>
      </c>
      <c r="J19" s="184" t="s">
        <v>10275</v>
      </c>
      <c r="K19" s="224" t="s">
        <v>15802</v>
      </c>
      <c r="L19" s="224" t="s">
        <v>15802</v>
      </c>
      <c r="M19" s="224" t="s">
        <v>15885</v>
      </c>
      <c r="N19" s="224" t="s">
        <v>15802</v>
      </c>
      <c r="O19" s="224" t="s">
        <v>490</v>
      </c>
      <c r="P19" s="185" t="s">
        <v>15802</v>
      </c>
      <c r="Q19" s="225" t="s">
        <v>15802</v>
      </c>
      <c r="R19" s="182" t="str">
        <f ca="1">IF(ISERROR($V19),"",OFFSET('Smelter Look-up'!$C$4,$V19-4,0)&amp;"")</f>
        <v>Boliden AB</v>
      </c>
      <c r="S19" s="181" t="str">
        <f t="shared" ca="1" si="3"/>
        <v>SE</v>
      </c>
      <c r="T19" s="181" t="str">
        <f ca="1">IF(B19="","",IF(ISERROR(MATCH($J19,SorP!$B$1:$B$6279,0)),"",INDIRECT("'SorP'!$A$"&amp;MATCH($S19&amp;$J19,SorP!C:C,0))))</f>
        <v>SE-AC</v>
      </c>
      <c r="U19" s="201"/>
      <c r="V19" s="226">
        <f>IF(C19="",NA(),IF(OR(C19="Smelter not listed",C19="Smelter not yet identified"),MATCH($B19&amp;$D19,'Smelter Look-up'!$J:$J,0),MATCH($B19&amp;$C19,'Smelter Look-up'!$J:$J,0)))</f>
        <v>42</v>
      </c>
      <c r="X19" s="227">
        <f t="shared" si="4"/>
        <v>0</v>
      </c>
      <c r="AB19" s="228" t="str">
        <f t="shared" si="5"/>
        <v>GoldBoliden AB</v>
      </c>
    </row>
    <row r="20" spans="1:28" s="227" customFormat="1" ht="51">
      <c r="A20" s="181" t="s">
        <v>662</v>
      </c>
      <c r="B20" s="182" t="s">
        <v>1125</v>
      </c>
      <c r="C20" s="186" t="s">
        <v>661</v>
      </c>
      <c r="D20" s="230"/>
      <c r="E20" s="182" t="s">
        <v>1097</v>
      </c>
      <c r="F20" s="182" t="s">
        <v>662</v>
      </c>
      <c r="G20" s="182" t="s">
        <v>13240</v>
      </c>
      <c r="H20" s="183">
        <v>0</v>
      </c>
      <c r="I20" s="184" t="s">
        <v>1542</v>
      </c>
      <c r="J20" s="184" t="s">
        <v>1543</v>
      </c>
      <c r="K20" s="224"/>
      <c r="L20" s="224"/>
      <c r="M20" s="224"/>
      <c r="N20" s="224"/>
      <c r="O20" s="224"/>
      <c r="P20" s="185"/>
      <c r="Q20" s="225" t="s">
        <v>15815</v>
      </c>
      <c r="R20" s="182" t="str">
        <f ca="1">IF(ISERROR($V20),"",OFFSET('Smelter Look-up'!$C$4,$V20-4,0)&amp;"")</f>
        <v>C. Hafner GmbH + Co. KG</v>
      </c>
      <c r="S20" s="181" t="str">
        <f t="shared" ca="1" si="3"/>
        <v>DE</v>
      </c>
      <c r="T20" s="181" t="str">
        <f ca="1">IF(B20="","",IF(ISERROR(MATCH($J20,SorP!$B$1:$B$6279,0)),"",INDIRECT("'SorP'!$A$"&amp;MATCH($S20&amp;$J20,SorP!C:C,0))))</f>
        <v>DE-BW</v>
      </c>
      <c r="U20" s="201"/>
      <c r="V20" s="226">
        <f>IF(C20="",NA(),IF(OR(C20="Smelter not listed",C20="Smelter not yet identified"),MATCH($B20&amp;$D20,'Smelter Look-up'!$J:$J,0),MATCH($B20&amp;$C20,'Smelter Look-up'!$J:$J,0)))</f>
        <v>43</v>
      </c>
      <c r="X20" s="227">
        <f t="shared" si="4"/>
        <v>0</v>
      </c>
      <c r="AB20" s="228" t="str">
        <f t="shared" si="5"/>
        <v>GoldC. Hafner GmbH + Co. KG</v>
      </c>
    </row>
    <row r="21" spans="1:28" s="227" customFormat="1" ht="25.5">
      <c r="A21" s="181" t="s">
        <v>663</v>
      </c>
      <c r="B21" s="182" t="s">
        <v>1125</v>
      </c>
      <c r="C21" s="186" t="s">
        <v>901</v>
      </c>
      <c r="D21" s="230"/>
      <c r="E21" s="182" t="s">
        <v>1109</v>
      </c>
      <c r="F21" s="182" t="s">
        <v>663</v>
      </c>
      <c r="G21" s="182" t="s">
        <v>13240</v>
      </c>
      <c r="H21" s="183"/>
      <c r="I21" s="184" t="s">
        <v>1559</v>
      </c>
      <c r="J21" s="184" t="s">
        <v>1560</v>
      </c>
      <c r="K21" s="224"/>
      <c r="L21" s="224"/>
      <c r="M21" s="224"/>
      <c r="N21" s="224"/>
      <c r="O21" s="224"/>
      <c r="P21" s="185"/>
      <c r="Q21" s="225"/>
      <c r="R21" s="182" t="str">
        <f ca="1">IF(ISERROR($V21),"",OFFSET('Smelter Look-up'!$C$4,$V21-4,0)&amp;"")</f>
        <v>Caridad</v>
      </c>
      <c r="S21" s="181" t="str">
        <f t="shared" ca="1" si="3"/>
        <v>MX</v>
      </c>
      <c r="T21" s="181" t="str">
        <f ca="1">IF(B21="","",IF(ISERROR(MATCH($J21,SorP!$B$1:$B$6279,0)),"",INDIRECT("'SorP'!$A$"&amp;MATCH($S21&amp;$J21,SorP!C:C,0))))</f>
        <v>MX-SON</v>
      </c>
      <c r="U21" s="201"/>
      <c r="V21" s="226">
        <f>IF(C21="",NA(),IF(OR(C21="Smelter not listed",C21="Smelter not yet identified"),MATCH($B21&amp;$D21,'Smelter Look-up'!$J:$J,0),MATCH($B21&amp;$C21,'Smelter Look-up'!$J:$J,0)))</f>
        <v>45</v>
      </c>
      <c r="X21" s="227">
        <f t="shared" si="4"/>
        <v>0</v>
      </c>
      <c r="AB21" s="228" t="str">
        <f t="shared" si="5"/>
        <v>GoldCaridad</v>
      </c>
    </row>
    <row r="22" spans="1:28" s="227" customFormat="1" ht="102">
      <c r="A22" s="181" t="s">
        <v>664</v>
      </c>
      <c r="B22" s="182" t="s">
        <v>1125</v>
      </c>
      <c r="C22" s="186" t="s">
        <v>2240</v>
      </c>
      <c r="D22" s="230"/>
      <c r="E22" s="182" t="s">
        <v>1093</v>
      </c>
      <c r="F22" s="182" t="s">
        <v>664</v>
      </c>
      <c r="G22" s="182" t="s">
        <v>13240</v>
      </c>
      <c r="H22" s="183" t="s">
        <v>15802</v>
      </c>
      <c r="I22" s="184" t="s">
        <v>1561</v>
      </c>
      <c r="J22" s="184" t="s">
        <v>1562</v>
      </c>
      <c r="K22" s="224" t="s">
        <v>15802</v>
      </c>
      <c r="L22" s="224" t="s">
        <v>15802</v>
      </c>
      <c r="M22" s="224" t="s">
        <v>15885</v>
      </c>
      <c r="N22" s="224" t="s">
        <v>15802</v>
      </c>
      <c r="O22" s="224" t="s">
        <v>490</v>
      </c>
      <c r="P22" s="185" t="s">
        <v>15802</v>
      </c>
      <c r="Q22" s="225" t="s">
        <v>15802</v>
      </c>
      <c r="R22" s="182" t="str">
        <f ca="1">IF(ISERROR($V22),"",OFFSET('Smelter Look-up'!$C$4,$V22-4,0)&amp;"")</f>
        <v>CCR Refinery - Glencore Canada Corporation</v>
      </c>
      <c r="S22" s="181" t="str">
        <f t="shared" ca="1" si="3"/>
        <v>CA</v>
      </c>
      <c r="T22" s="181" t="str">
        <f ca="1">IF(B22="","",IF(ISERROR(MATCH($J22,SorP!$B$1:$B$6279,0)),"",INDIRECT("'SorP'!$A$"&amp;MATCH($S22&amp;$J22,SorP!C:C,0))))</f>
        <v>CA-QC</v>
      </c>
      <c r="U22" s="201"/>
      <c r="V22" s="226">
        <f>IF(C22="",NA(),IF(OR(C22="Smelter not listed",C22="Smelter not yet identified"),MATCH($B22&amp;$D22,'Smelter Look-up'!$J:$J,0),MATCH($B22&amp;$C22,'Smelter Look-up'!$J:$J,0)))</f>
        <v>47</v>
      </c>
      <c r="X22" s="227">
        <f t="shared" si="4"/>
        <v>0</v>
      </c>
      <c r="AB22" s="228" t="str">
        <f t="shared" si="5"/>
        <v>GoldCCR Refinery - Glencore Canada Corporation</v>
      </c>
    </row>
    <row r="23" spans="1:28" s="227" customFormat="1" ht="51">
      <c r="A23" s="181" t="s">
        <v>665</v>
      </c>
      <c r="B23" s="182" t="s">
        <v>1125</v>
      </c>
      <c r="C23" s="186" t="s">
        <v>2493</v>
      </c>
      <c r="D23" s="230"/>
      <c r="E23" s="182" t="s">
        <v>1094</v>
      </c>
      <c r="F23" s="182" t="s">
        <v>665</v>
      </c>
      <c r="G23" s="182" t="s">
        <v>13240</v>
      </c>
      <c r="H23" s="183">
        <v>0</v>
      </c>
      <c r="I23" s="184" t="s">
        <v>1565</v>
      </c>
      <c r="J23" s="184" t="s">
        <v>1566</v>
      </c>
      <c r="K23" s="224"/>
      <c r="L23" s="224" t="s">
        <v>15902</v>
      </c>
      <c r="M23" s="224"/>
      <c r="N23" s="224"/>
      <c r="O23" s="224"/>
      <c r="P23" s="185"/>
      <c r="Q23" s="225" t="s">
        <v>15903</v>
      </c>
      <c r="R23" s="182" t="str">
        <f ca="1">IF(ISERROR($V23),"",OFFSET('Smelter Look-up'!$C$4,$V23-4,0)&amp;"")</f>
        <v>Cendres + Metaux S.A.</v>
      </c>
      <c r="S23" s="181" t="str">
        <f t="shared" ca="1" si="3"/>
        <v>CH</v>
      </c>
      <c r="T23" s="181" t="str">
        <f ca="1">IF(B23="","",IF(ISERROR(MATCH($J23,SorP!$B$1:$B$6279,0)),"",INDIRECT("'SorP'!$A$"&amp;MATCH($S23&amp;$J23,SorP!C:C,0))))</f>
        <v>CH-BE</v>
      </c>
      <c r="U23" s="201"/>
      <c r="V23" s="226">
        <f>IF(C23="",NA(),IF(OR(C23="Smelter not listed",C23="Smelter not yet identified"),MATCH($B23&amp;$D23,'Smelter Look-up'!$J:$J,0),MATCH($B23&amp;$C23,'Smelter Look-up'!$J:$J,0)))</f>
        <v>49</v>
      </c>
      <c r="X23" s="227">
        <f t="shared" si="4"/>
        <v>0</v>
      </c>
      <c r="AB23" s="228" t="str">
        <f t="shared" si="5"/>
        <v>GoldCendres + Metaux S.A.</v>
      </c>
    </row>
    <row r="24" spans="1:28" s="227" customFormat="1" ht="76.5">
      <c r="A24" s="181" t="s">
        <v>742</v>
      </c>
      <c r="B24" s="182" t="s">
        <v>1125</v>
      </c>
      <c r="C24" s="186" t="s">
        <v>2142</v>
      </c>
      <c r="D24" s="230"/>
      <c r="E24" s="182" t="s">
        <v>1096</v>
      </c>
      <c r="F24" s="182" t="s">
        <v>742</v>
      </c>
      <c r="G24" s="182" t="s">
        <v>13240</v>
      </c>
      <c r="H24" s="183"/>
      <c r="I24" s="184" t="s">
        <v>1567</v>
      </c>
      <c r="J24" s="184" t="s">
        <v>13628</v>
      </c>
      <c r="K24" s="224"/>
      <c r="L24" s="224"/>
      <c r="M24" s="224"/>
      <c r="N24" s="224"/>
      <c r="O24" s="224"/>
      <c r="P24" s="185"/>
      <c r="Q24" s="225"/>
      <c r="R24" s="182" t="str">
        <f ca="1">IF(ISERROR($V24),"",OFFSET('Smelter Look-up'!$C$4,$V24-4,0)&amp;"")</f>
        <v>Yunnan Copper Industry Co., Ltd.</v>
      </c>
      <c r="S24" s="181" t="str">
        <f t="shared" ca="1" si="3"/>
        <v>CN</v>
      </c>
      <c r="T24" s="181" t="str">
        <f ca="1">IF(B24="","",IF(ISERROR(MATCH($J24,SorP!$B$1:$B$6279,0)),"",INDIRECT("'SorP'!$A$"&amp;MATCH($S24&amp;$J24,SorP!C:C,0))))</f>
        <v>CN-YN</v>
      </c>
      <c r="U24" s="201"/>
      <c r="V24" s="226">
        <f>IF(C24="",NA(),IF(OR(C24="Smelter not listed",C24="Smelter not yet identified"),MATCH($B24&amp;$D24,'Smelter Look-up'!$J:$J,0),MATCH($B24&amp;$C24,'Smelter Look-up'!$J:$J,0)))</f>
        <v>307</v>
      </c>
      <c r="X24" s="227">
        <f t="shared" si="4"/>
        <v>0</v>
      </c>
      <c r="AB24" s="228" t="str">
        <f t="shared" si="5"/>
        <v>GoldYunnan Copper Industry Co., Ltd.</v>
      </c>
    </row>
    <row r="25" spans="1:28" s="227" customFormat="1" ht="25.5">
      <c r="A25" s="181" t="s">
        <v>745</v>
      </c>
      <c r="B25" s="182" t="s">
        <v>1127</v>
      </c>
      <c r="C25" s="186" t="s">
        <v>2</v>
      </c>
      <c r="D25" s="230"/>
      <c r="E25" s="182" t="s">
        <v>1096</v>
      </c>
      <c r="F25" s="182" t="s">
        <v>745</v>
      </c>
      <c r="G25" s="182" t="s">
        <v>13240</v>
      </c>
      <c r="H25" s="183" t="s">
        <v>15802</v>
      </c>
      <c r="I25" s="184" t="s">
        <v>1590</v>
      </c>
      <c r="J25" s="184" t="s">
        <v>13623</v>
      </c>
      <c r="K25" s="224" t="s">
        <v>15802</v>
      </c>
      <c r="L25" s="224" t="s">
        <v>15802</v>
      </c>
      <c r="M25" s="224" t="s">
        <v>15802</v>
      </c>
      <c r="N25" s="224" t="s">
        <v>15802</v>
      </c>
      <c r="O25" s="224" t="s">
        <v>15887</v>
      </c>
      <c r="P25" s="185" t="s">
        <v>489</v>
      </c>
      <c r="Q25" s="225" t="s">
        <v>15802</v>
      </c>
      <c r="R25" s="182"/>
      <c r="S25" s="181"/>
      <c r="T25" s="181"/>
      <c r="U25" s="201"/>
      <c r="V25" s="226"/>
      <c r="AB25" s="228"/>
    </row>
    <row r="26" spans="1:28" s="227" customFormat="1" ht="89.25">
      <c r="A26" s="181" t="s">
        <v>790</v>
      </c>
      <c r="B26" s="182" t="s">
        <v>1128</v>
      </c>
      <c r="C26" s="186" t="s">
        <v>1375</v>
      </c>
      <c r="D26" s="230"/>
      <c r="E26" s="182" t="s">
        <v>1096</v>
      </c>
      <c r="F26" s="182" t="s">
        <v>790</v>
      </c>
      <c r="G26" s="182" t="s">
        <v>13240</v>
      </c>
      <c r="H26" s="183">
        <v>0</v>
      </c>
      <c r="I26" s="184" t="s">
        <v>1824</v>
      </c>
      <c r="J26" s="184" t="s">
        <v>13624</v>
      </c>
      <c r="K26" s="224"/>
      <c r="L26" s="224"/>
      <c r="M26" s="224"/>
      <c r="N26" s="224"/>
      <c r="O26" s="224"/>
      <c r="P26" s="185"/>
      <c r="Q26" s="225" t="s">
        <v>15815</v>
      </c>
      <c r="R26" s="182" t="str">
        <f ca="1">IF(ISERROR($V26),"",OFFSET('Smelter Look-up'!$C$4,$V26-4,0)&amp;"")</f>
        <v>Guangdong Xianglu Tungsten Co., Ltd.</v>
      </c>
      <c r="S26" s="181" t="str">
        <f t="shared" ca="1" si="3"/>
        <v>CN</v>
      </c>
      <c r="T26" s="181" t="str">
        <f ca="1">IF(B26="","",IF(ISERROR(MATCH($J26,SorP!$B$1:$B$6279,0)),"",INDIRECT("'SorP'!$A$"&amp;MATCH($S26&amp;$J26,SorP!C:C,0))))</f>
        <v>CN-GD</v>
      </c>
      <c r="U26" s="201"/>
      <c r="V26" s="226">
        <f>IF(C26="",NA(),IF(OR(C26="Smelter not listed",C26="Smelter not yet identified"),MATCH($B26&amp;$D26,'Smelter Look-up'!$J:$J,0),MATCH($B26&amp;$C26,'Smelter Look-up'!$J:$J,0)))</f>
        <v>587</v>
      </c>
      <c r="X26" s="227">
        <f t="shared" si="4"/>
        <v>0</v>
      </c>
      <c r="AB26" s="228" t="str">
        <f t="shared" si="5"/>
        <v>TungstenGuangdong Xianglu Tungsten Co., Ltd.</v>
      </c>
    </row>
    <row r="27" spans="1:28" s="227" customFormat="1" ht="102">
      <c r="A27" s="181" t="s">
        <v>2278</v>
      </c>
      <c r="B27" s="182" t="s">
        <v>1126</v>
      </c>
      <c r="C27" s="186" t="s">
        <v>2335</v>
      </c>
      <c r="D27" s="230"/>
      <c r="E27" s="182" t="s">
        <v>1096</v>
      </c>
      <c r="F27" s="182" t="s">
        <v>2278</v>
      </c>
      <c r="G27" s="182" t="s">
        <v>13240</v>
      </c>
      <c r="H27" s="183" t="s">
        <v>15802</v>
      </c>
      <c r="I27" s="184" t="s">
        <v>1774</v>
      </c>
      <c r="J27" s="184" t="s">
        <v>13623</v>
      </c>
      <c r="K27" s="224" t="s">
        <v>15802</v>
      </c>
      <c r="L27" s="224" t="s">
        <v>15802</v>
      </c>
      <c r="M27" s="224" t="s">
        <v>15892</v>
      </c>
      <c r="N27" s="224" t="s">
        <v>15802</v>
      </c>
      <c r="O27" s="224" t="s">
        <v>15886</v>
      </c>
      <c r="P27" s="185" t="s">
        <v>489</v>
      </c>
      <c r="Q27" s="225" t="s">
        <v>15802</v>
      </c>
      <c r="R27" s="182" t="str">
        <f ca="1">IF(ISERROR($V27),"",OFFSET('Smelter Look-up'!$C$4,$V27-4,0)&amp;"")</f>
        <v>Chenzhou Yunxiang Mining and Metallurgy Co., Ltd.</v>
      </c>
      <c r="S27" s="181" t="str">
        <f t="shared" ca="1" si="3"/>
        <v>CN</v>
      </c>
      <c r="T27" s="181" t="str">
        <f ca="1">IF(B27="","",IF(ISERROR(MATCH($J27,SorP!$B$1:$B$6279,0)),"",INDIRECT("'SorP'!$A$"&amp;MATCH($S27&amp;$J27,SorP!C:C,0))))</f>
        <v>CN-HN</v>
      </c>
      <c r="U27" s="201"/>
      <c r="V27" s="226">
        <f>IF(C27="",NA(),IF(OR(C27="Smelter not listed",C27="Smelter not yet identified"),MATCH($B27&amp;$D27,'Smelter Look-up'!$J:$J,0),MATCH($B27&amp;$C27,'Smelter Look-up'!$J:$J,0)))</f>
        <v>400</v>
      </c>
      <c r="X27" s="227">
        <f t="shared" si="4"/>
        <v>0</v>
      </c>
      <c r="AB27" s="228" t="str">
        <f t="shared" si="5"/>
        <v>TinChenzhou Yunxiang Mining and Metallurgy Co., Ltd.</v>
      </c>
    </row>
    <row r="28" spans="1:28" s="227" customFormat="1" ht="38.25">
      <c r="A28" s="181" t="s">
        <v>666</v>
      </c>
      <c r="B28" s="182" t="s">
        <v>1125</v>
      </c>
      <c r="C28" s="186" t="s">
        <v>53</v>
      </c>
      <c r="D28" s="230"/>
      <c r="E28" s="182" t="s">
        <v>1103</v>
      </c>
      <c r="F28" s="182" t="s">
        <v>666</v>
      </c>
      <c r="G28" s="182" t="s">
        <v>13240</v>
      </c>
      <c r="H28" s="183">
        <v>0</v>
      </c>
      <c r="I28" s="184" t="s">
        <v>1569</v>
      </c>
      <c r="J28" s="184" t="s">
        <v>6470</v>
      </c>
      <c r="K28" s="224"/>
      <c r="L28" s="224"/>
      <c r="M28" s="224"/>
      <c r="N28" s="224"/>
      <c r="O28" s="224"/>
      <c r="P28" s="185"/>
      <c r="Q28" s="225" t="s">
        <v>15815</v>
      </c>
      <c r="R28" s="182" t="str">
        <f ca="1">IF(ISERROR($V28),"",OFFSET('Smelter Look-up'!$C$4,$V28-4,0)&amp;"")</f>
        <v>Chimet S.p.A.</v>
      </c>
      <c r="S28" s="181" t="str">
        <f t="shared" ca="1" si="3"/>
        <v>IT</v>
      </c>
      <c r="T28" s="181" t="str">
        <f ca="1">IF(B28="","",IF(ISERROR(MATCH($J28,SorP!$B$1:$B$6279,0)),"",INDIRECT("'SorP'!$A$"&amp;MATCH($S28&amp;$J28,SorP!C:C,0))))</f>
        <v>IT-52</v>
      </c>
      <c r="U28" s="201"/>
      <c r="V28" s="226">
        <f>IF(C28="",NA(),IF(OR(C28="Smelter not listed",C28="Smelter not yet identified"),MATCH($B28&amp;$D28,'Smelter Look-up'!$J:$J,0),MATCH($B28&amp;$C28,'Smelter Look-up'!$J:$J,0)))</f>
        <v>55</v>
      </c>
      <c r="X28" s="227">
        <f t="shared" si="4"/>
        <v>0</v>
      </c>
      <c r="AB28" s="228" t="str">
        <f t="shared" si="5"/>
        <v>GoldChimet S.p.A.</v>
      </c>
    </row>
    <row r="29" spans="1:28" s="227" customFormat="1" ht="89.25">
      <c r="A29" s="181" t="s">
        <v>15904</v>
      </c>
      <c r="B29" s="182" t="s">
        <v>1126</v>
      </c>
      <c r="C29" s="186" t="s">
        <v>15905</v>
      </c>
      <c r="D29" s="230" t="s">
        <v>15905</v>
      </c>
      <c r="E29" s="182" t="s">
        <v>1096</v>
      </c>
      <c r="F29" s="182" t="s">
        <v>15904</v>
      </c>
      <c r="G29" s="182" t="s">
        <v>15883</v>
      </c>
      <c r="H29" s="183">
        <v>0</v>
      </c>
      <c r="I29" s="184" t="s">
        <v>1739</v>
      </c>
      <c r="J29" s="184" t="s">
        <v>15906</v>
      </c>
      <c r="K29" s="224"/>
      <c r="L29" s="224"/>
      <c r="M29" s="224"/>
      <c r="N29" s="224"/>
      <c r="O29" s="224"/>
      <c r="P29" s="185"/>
      <c r="Q29" s="225" t="s">
        <v>15907</v>
      </c>
      <c r="R29" s="182" t="str">
        <f ca="1">IF(ISERROR($V29),"",OFFSET('Smelter Look-up'!$C$4,$V29-4,0)&amp;"")</f>
        <v/>
      </c>
      <c r="S29" s="181" t="str">
        <f t="shared" ca="1" si="3"/>
        <v>CN</v>
      </c>
      <c r="T29" s="181" t="str">
        <f ca="1">IF(B29="","",IF(ISERROR(MATCH($J29,SorP!$B$1:$B$6279,0)),"",INDIRECT("'SorP'!$A$"&amp;MATCH($S29&amp;$J29,SorP!C:C,0))))</f>
        <v/>
      </c>
      <c r="U29" s="201"/>
      <c r="V29" s="226" t="e">
        <f>IF(C29="",NA(),IF(OR(C29="Smelter not listed",C29="Smelter not yet identified"),MATCH($B29&amp;$D29,'Smelter Look-up'!$J:$J,0),MATCH($B29&amp;$C29,'Smelter Look-up'!$J:$J,0)))</f>
        <v>#N/A</v>
      </c>
      <c r="X29" s="227">
        <f t="shared" si="4"/>
        <v>0</v>
      </c>
      <c r="AB29" s="228" t="str">
        <f t="shared" si="5"/>
        <v>TinJiangxi Ketai Advanced Material Co., Ltd.</v>
      </c>
    </row>
    <row r="30" spans="1:28" s="227" customFormat="1" ht="102">
      <c r="A30" s="181" t="s">
        <v>791</v>
      </c>
      <c r="B30" s="182" t="s">
        <v>1128</v>
      </c>
      <c r="C30" s="186" t="s">
        <v>1374</v>
      </c>
      <c r="D30" s="230"/>
      <c r="E30" s="182" t="s">
        <v>1096</v>
      </c>
      <c r="F30" s="182" t="s">
        <v>791</v>
      </c>
      <c r="G30" s="182" t="s">
        <v>13240</v>
      </c>
      <c r="H30" s="183">
        <v>0</v>
      </c>
      <c r="I30" s="184" t="s">
        <v>1773</v>
      </c>
      <c r="J30" s="184" t="s">
        <v>13619</v>
      </c>
      <c r="K30" s="224"/>
      <c r="L30" s="224"/>
      <c r="M30" s="224"/>
      <c r="N30" s="224"/>
      <c r="O30" s="224" t="s">
        <v>15900</v>
      </c>
      <c r="P30" s="185" t="s">
        <v>489</v>
      </c>
      <c r="Q30" s="225" t="s">
        <v>15901</v>
      </c>
      <c r="R30" s="182" t="str">
        <f ca="1">IF(ISERROR($V30),"",OFFSET('Smelter Look-up'!$C$4,$V30-4,0)&amp;"")</f>
        <v>Chongyi Zhangyuan Tungsten Co., Ltd.</v>
      </c>
      <c r="S30" s="181" t="str">
        <f t="shared" ca="1" si="3"/>
        <v>CN</v>
      </c>
      <c r="T30" s="181" t="str">
        <f ca="1">IF(B30="","",IF(ISERROR(MATCH($J30,SorP!$B$1:$B$6279,0)),"",INDIRECT("'SorP'!$A$"&amp;MATCH($S30&amp;$J30,SorP!C:C,0))))</f>
        <v>CN-JX</v>
      </c>
      <c r="U30" s="201"/>
      <c r="V30" s="226">
        <f>IF(C30="",NA(),IF(OR(C30="Smelter not listed",C30="Smelter not yet identified"),MATCH($B30&amp;$D30,'Smelter Look-up'!$J:$J,0),MATCH($B30&amp;$C30,'Smelter Look-up'!$J:$J,0)))</f>
        <v>573</v>
      </c>
      <c r="X30" s="227">
        <f t="shared" si="4"/>
        <v>0</v>
      </c>
      <c r="AB30" s="228" t="str">
        <f t="shared" si="5"/>
        <v>TungstenChongyi Zhangyuan Tungsten Co., Ltd.</v>
      </c>
    </row>
    <row r="31" spans="1:28" s="227" customFormat="1" ht="38.25">
      <c r="A31" s="181" t="s">
        <v>667</v>
      </c>
      <c r="B31" s="182" t="s">
        <v>1125</v>
      </c>
      <c r="C31" s="186" t="s">
        <v>539</v>
      </c>
      <c r="D31" s="230"/>
      <c r="E31" s="182" t="s">
        <v>1104</v>
      </c>
      <c r="F31" s="182" t="s">
        <v>667</v>
      </c>
      <c r="G31" s="182" t="s">
        <v>13240</v>
      </c>
      <c r="H31" s="183">
        <v>0</v>
      </c>
      <c r="I31" s="184" t="s">
        <v>1570</v>
      </c>
      <c r="J31" s="184" t="s">
        <v>1541</v>
      </c>
      <c r="K31" s="224"/>
      <c r="L31" s="224"/>
      <c r="M31" s="224"/>
      <c r="N31" s="224"/>
      <c r="O31" s="224"/>
      <c r="P31" s="185"/>
      <c r="Q31" s="225" t="s">
        <v>15815</v>
      </c>
      <c r="R31" s="182" t="str">
        <f ca="1">IF(ISERROR($V31),"",OFFSET('Smelter Look-up'!$C$4,$V31-4,0)&amp;"")</f>
        <v>Chugai Mining</v>
      </c>
      <c r="S31" s="181" t="str">
        <f t="shared" ca="1" si="3"/>
        <v>JP</v>
      </c>
      <c r="T31" s="181" t="str">
        <f ca="1">IF(B31="","",IF(ISERROR(MATCH($J31,SorP!$B$1:$B$6279,0)),"",INDIRECT("'SorP'!$A$"&amp;MATCH($S31&amp;$J31,SorP!C:C,0))))</f>
        <v>JP-13</v>
      </c>
      <c r="U31" s="201"/>
      <c r="V31" s="226">
        <f>IF(C31="",NA(),IF(OR(C31="Smelter not listed",C31="Smelter not yet identified"),MATCH($B31&amp;$D31,'Smelter Look-up'!$J:$J,0),MATCH($B31&amp;$C31,'Smelter Look-up'!$J:$J,0)))</f>
        <v>58</v>
      </c>
      <c r="X31" s="227">
        <f t="shared" si="4"/>
        <v>0</v>
      </c>
      <c r="AB31" s="228" t="str">
        <f t="shared" si="5"/>
        <v>GoldChugai Mining</v>
      </c>
    </row>
    <row r="32" spans="1:28" s="227" customFormat="1" ht="89.25">
      <c r="A32" s="181" t="s">
        <v>15908</v>
      </c>
      <c r="B32" s="182" t="s">
        <v>1127</v>
      </c>
      <c r="C32" s="186" t="s">
        <v>15909</v>
      </c>
      <c r="D32" s="230" t="s">
        <v>15909</v>
      </c>
      <c r="E32" s="182" t="s">
        <v>1096</v>
      </c>
      <c r="F32" s="182" t="s">
        <v>15908</v>
      </c>
      <c r="G32" s="182" t="s">
        <v>15883</v>
      </c>
      <c r="H32" s="183">
        <v>0</v>
      </c>
      <c r="I32" s="184" t="s">
        <v>15910</v>
      </c>
      <c r="J32" s="184" t="s">
        <v>15911</v>
      </c>
      <c r="K32" s="224"/>
      <c r="L32" s="224"/>
      <c r="M32" s="224"/>
      <c r="N32" s="224"/>
      <c r="O32" s="224"/>
      <c r="P32" s="185"/>
      <c r="Q32" s="225" t="s">
        <v>15907</v>
      </c>
      <c r="R32" s="182" t="str">
        <f ca="1">IF(ISERROR($V32),"",OFFSET('Smelter Look-up'!$C$4,$V32-4,0)&amp;"")</f>
        <v/>
      </c>
      <c r="S32" s="181" t="str">
        <f t="shared" ca="1" si="3"/>
        <v>CN</v>
      </c>
      <c r="T32" s="181" t="str">
        <f ca="1">IF(B32="","",IF(ISERROR(MATCH($J32,SorP!$B$1:$B$6279,0)),"",INDIRECT("'SorP'!$A$"&amp;MATCH($S32&amp;$J32,SorP!C:C,0))))</f>
        <v/>
      </c>
      <c r="U32" s="201"/>
      <c r="V32" s="226" t="e">
        <f>IF(C32="",NA(),IF(OR(C32="Smelter not listed",C32="Smelter not yet identified"),MATCH($B32&amp;$D32,'Smelter Look-up'!$J:$J,0),MATCH($B32&amp;$C32,'Smelter Look-up'!$J:$J,0)))</f>
        <v>#N/A</v>
      </c>
      <c r="X32" s="227">
        <f t="shared" si="4"/>
        <v>0</v>
      </c>
      <c r="AB32" s="228" t="str">
        <f t="shared" si="5"/>
        <v>TantalumConghua Tantalum and Niobium Smeltry</v>
      </c>
    </row>
    <row r="33" spans="1:28" s="227" customFormat="1" ht="38.25">
      <c r="A33" s="181" t="s">
        <v>763</v>
      </c>
      <c r="B33" s="182" t="s">
        <v>1126</v>
      </c>
      <c r="C33" s="186" t="s">
        <v>49</v>
      </c>
      <c r="D33" s="230"/>
      <c r="E33" s="182" t="s">
        <v>2432</v>
      </c>
      <c r="F33" s="182" t="s">
        <v>763</v>
      </c>
      <c r="G33" s="182" t="s">
        <v>13240</v>
      </c>
      <c r="H33" s="183">
        <v>0</v>
      </c>
      <c r="I33" s="184" t="s">
        <v>1760</v>
      </c>
      <c r="J33" s="184" t="s">
        <v>1737</v>
      </c>
      <c r="K33" s="224"/>
      <c r="L33" s="224"/>
      <c r="M33" s="224"/>
      <c r="N33" s="224"/>
      <c r="O33" s="224" t="s">
        <v>15912</v>
      </c>
      <c r="P33" s="185" t="s">
        <v>489</v>
      </c>
      <c r="Q33" s="225" t="s">
        <v>15913</v>
      </c>
      <c r="R33" s="182" t="str">
        <f ca="1">IF(ISERROR($V33),"",OFFSET('Smelter Look-up'!$C$4,$V33-4,0)&amp;"")</f>
        <v>Alpha</v>
      </c>
      <c r="S33" s="181" t="str">
        <f t="shared" ca="1" si="3"/>
        <v>US</v>
      </c>
      <c r="T33" s="181" t="str">
        <f ca="1">IF(B33="","",IF(ISERROR(MATCH($J33,SorP!$B$1:$B$6279,0)),"",INDIRECT("'SorP'!$A$"&amp;MATCH($S33&amp;$J33,SorP!C:C,0))))</f>
        <v>US-PA</v>
      </c>
      <c r="U33" s="201"/>
      <c r="V33" s="226">
        <f>IF(C33="",NA(),IF(OR(C33="Smelter not listed",C33="Smelter not yet identified"),MATCH($B33&amp;$D33,'Smelter Look-up'!$J:$J,0),MATCH($B33&amp;$C33,'Smelter Look-up'!$J:$J,0)))</f>
        <v>389</v>
      </c>
      <c r="X33" s="227">
        <f t="shared" si="4"/>
        <v>0</v>
      </c>
      <c r="AB33" s="228" t="str">
        <f t="shared" si="5"/>
        <v>TinAlpha</v>
      </c>
    </row>
    <row r="34" spans="1:28" s="227" customFormat="1" ht="76.5">
      <c r="A34" s="181" t="s">
        <v>15914</v>
      </c>
      <c r="B34" s="182" t="s">
        <v>1126</v>
      </c>
      <c r="C34" s="186" t="s">
        <v>15915</v>
      </c>
      <c r="D34" s="230" t="s">
        <v>15915</v>
      </c>
      <c r="E34" s="182" t="s">
        <v>1092</v>
      </c>
      <c r="F34" s="182" t="s">
        <v>15914</v>
      </c>
      <c r="G34" s="182" t="s">
        <v>15883</v>
      </c>
      <c r="H34" s="183">
        <v>0</v>
      </c>
      <c r="I34" s="184" t="s">
        <v>1766</v>
      </c>
      <c r="J34" s="184" t="s">
        <v>15916</v>
      </c>
      <c r="K34" s="224"/>
      <c r="L34" s="224"/>
      <c r="M34" s="224"/>
      <c r="N34" s="224"/>
      <c r="O34" s="224"/>
      <c r="P34" s="185"/>
      <c r="Q34" s="225" t="s">
        <v>15907</v>
      </c>
      <c r="R34" s="182" t="str">
        <f ca="1">IF(ISERROR($V34),"",OFFSET('Smelter Look-up'!$C$4,$V34-4,0)&amp;"")</f>
        <v/>
      </c>
      <c r="S34" s="181" t="str">
        <f t="shared" ca="1" si="3"/>
        <v>BR</v>
      </c>
      <c r="T34" s="181" t="str">
        <f ca="1">IF(B34="","",IF(ISERROR(MATCH($J34,SorP!$B$1:$B$6279,0)),"",INDIRECT("'SorP'!$A$"&amp;MATCH($S34&amp;$J34,SorP!C:C,0))))</f>
        <v/>
      </c>
      <c r="U34" s="201"/>
      <c r="V34" s="226" t="e">
        <f>IF(C34="",NA(),IF(OR(C34="Smelter not listed",C34="Smelter not yet identified"),MATCH($B34&amp;$D34,'Smelter Look-up'!$J:$J,0),MATCH($B34&amp;$C34,'Smelter Look-up'!$J:$J,0)))</f>
        <v>#N/A</v>
      </c>
      <c r="X34" s="227">
        <f t="shared" si="4"/>
        <v>0</v>
      </c>
      <c r="AB34" s="228" t="str">
        <f t="shared" si="5"/>
        <v>TinCooperativa Metalurgica de Rondônia Ltda.</v>
      </c>
    </row>
    <row r="35" spans="1:28" s="227" customFormat="1" ht="38.25">
      <c r="A35" s="181" t="s">
        <v>15917</v>
      </c>
      <c r="B35" s="182" t="s">
        <v>1126</v>
      </c>
      <c r="C35" s="186" t="s">
        <v>15918</v>
      </c>
      <c r="D35" s="230" t="s">
        <v>15918</v>
      </c>
      <c r="E35" s="182" t="s">
        <v>1101</v>
      </c>
      <c r="F35" s="182" t="s">
        <v>15917</v>
      </c>
      <c r="G35" s="182" t="s">
        <v>15883</v>
      </c>
      <c r="H35" s="183">
        <v>0</v>
      </c>
      <c r="I35" s="184" t="s">
        <v>1767</v>
      </c>
      <c r="J35" s="184" t="s">
        <v>15884</v>
      </c>
      <c r="K35" s="224"/>
      <c r="L35" s="224"/>
      <c r="M35" s="224"/>
      <c r="N35" s="224"/>
      <c r="O35" s="224"/>
      <c r="P35" s="185"/>
      <c r="Q35" s="225" t="s">
        <v>15907</v>
      </c>
      <c r="R35" s="182" t="str">
        <f ca="1">IF(ISERROR($V35),"",OFFSET('Smelter Look-up'!$C$4,$V35-4,0)&amp;"")</f>
        <v/>
      </c>
      <c r="S35" s="181" t="str">
        <f t="shared" ca="1" si="3"/>
        <v>ID</v>
      </c>
      <c r="T35" s="181" t="str">
        <f ca="1">IF(B35="","",IF(ISERROR(MATCH($J35,SorP!$B$1:$B$6279,0)),"",INDIRECT("'SorP'!$A$"&amp;MATCH($S35&amp;$J35,SorP!C:C,0))))</f>
        <v/>
      </c>
      <c r="U35" s="201"/>
      <c r="V35" s="226" t="e">
        <f>IF(C35="",NA(),IF(OR(C35="Smelter not listed",C35="Smelter not yet identified"),MATCH($B35&amp;$D35,'Smelter Look-up'!$J:$J,0),MATCH($B35&amp;$C35,'Smelter Look-up'!$J:$J,0)))</f>
        <v>#N/A</v>
      </c>
      <c r="X35" s="227">
        <f t="shared" si="4"/>
        <v>0</v>
      </c>
      <c r="AB35" s="228" t="str">
        <f t="shared" si="5"/>
        <v>TinCV Gita Pesona</v>
      </c>
    </row>
    <row r="36" spans="1:28" s="227" customFormat="1" ht="63.75">
      <c r="A36" s="181" t="s">
        <v>15095</v>
      </c>
      <c r="B36" s="182" t="s">
        <v>1126</v>
      </c>
      <c r="C36" s="186" t="s">
        <v>15094</v>
      </c>
      <c r="D36" s="230"/>
      <c r="E36" s="182" t="s">
        <v>1101</v>
      </c>
      <c r="F36" s="182" t="s">
        <v>15095</v>
      </c>
      <c r="G36" s="182" t="s">
        <v>13240</v>
      </c>
      <c r="H36" s="183" t="s">
        <v>15802</v>
      </c>
      <c r="I36" s="184" t="s">
        <v>15142</v>
      </c>
      <c r="J36" s="184" t="s">
        <v>12852</v>
      </c>
      <c r="K36" s="224" t="s">
        <v>15802</v>
      </c>
      <c r="L36" s="224" t="s">
        <v>15802</v>
      </c>
      <c r="M36" s="224" t="s">
        <v>15895</v>
      </c>
      <c r="N36" s="224" t="s">
        <v>15802</v>
      </c>
      <c r="O36" s="224" t="s">
        <v>15886</v>
      </c>
      <c r="P36" s="185" t="s">
        <v>489</v>
      </c>
      <c r="Q36" s="225" t="s">
        <v>15802</v>
      </c>
      <c r="R36" s="182" t="str">
        <f ca="1">IF(ISERROR($V36),"",OFFSET('Smelter Look-up'!$C$4,$V36-4,0)&amp;"")</f>
        <v>PT Aries Kencana Sejahtera</v>
      </c>
      <c r="S36" s="181" t="str">
        <f t="shared" ca="1" si="3"/>
        <v>ID</v>
      </c>
      <c r="T36" s="181" t="str">
        <f ca="1">IF(B36="","",IF(ISERROR(MATCH($J36,SorP!$B$1:$B$6279,0)),"",INDIRECT("'SorP'!$A$"&amp;MATCH($S36&amp;$J36,SorP!C:C,0))))</f>
        <v>ID-BB</v>
      </c>
      <c r="U36" s="201"/>
      <c r="V36" s="226">
        <f>IF(C36="",NA(),IF(OR(C36="Smelter not listed",C36="Smelter not yet identified"),MATCH($B36&amp;$D36,'Smelter Look-up'!$J:$J,0),MATCH($B36&amp;$C36,'Smelter Look-up'!$J:$J,0)))</f>
        <v>486</v>
      </c>
      <c r="X36" s="227">
        <f t="shared" si="4"/>
        <v>0</v>
      </c>
      <c r="AB36" s="228" t="str">
        <f t="shared" si="5"/>
        <v>TinPT Aries Kencana Sejahtera</v>
      </c>
    </row>
    <row r="37" spans="1:28" s="227" customFormat="1" ht="51">
      <c r="A37" s="181" t="s">
        <v>15539</v>
      </c>
      <c r="B37" s="182" t="s">
        <v>1126</v>
      </c>
      <c r="C37" s="186" t="s">
        <v>15537</v>
      </c>
      <c r="D37" s="230" t="s">
        <v>15537</v>
      </c>
      <c r="E37" s="182" t="s">
        <v>1101</v>
      </c>
      <c r="F37" s="182" t="s">
        <v>15539</v>
      </c>
      <c r="G37" s="182" t="s">
        <v>15883</v>
      </c>
      <c r="H37" s="183">
        <v>0</v>
      </c>
      <c r="I37" s="184" t="s">
        <v>15919</v>
      </c>
      <c r="J37" s="184" t="s">
        <v>15884</v>
      </c>
      <c r="K37" s="224"/>
      <c r="L37" s="224"/>
      <c r="M37" s="224"/>
      <c r="N37" s="224"/>
      <c r="O37" s="224"/>
      <c r="P37" s="185"/>
      <c r="Q37" s="225" t="s">
        <v>15907</v>
      </c>
      <c r="R37" s="182" t="str">
        <f ca="1">IF(ISERROR($V37),"",OFFSET('Smelter Look-up'!$C$4,$V37-4,0)&amp;"")</f>
        <v>PT Premium Tin Indonesia</v>
      </c>
      <c r="S37" s="181" t="str">
        <f t="shared" ca="1" si="3"/>
        <v>ID</v>
      </c>
      <c r="T37" s="181" t="str">
        <f ca="1">IF(B37="","",IF(ISERROR(MATCH($J37,SorP!$B$1:$B$6279,0)),"",INDIRECT("'SorP'!$A$"&amp;MATCH($S37&amp;$J37,SorP!C:C,0))))</f>
        <v/>
      </c>
      <c r="U37" s="201"/>
      <c r="V37" s="226">
        <f>IF(C37="",NA(),IF(OR(C37="Smelter not listed",C37="Smelter not yet identified"),MATCH($B37&amp;$D37,'Smelter Look-up'!$J:$J,0),MATCH($B37&amp;$C37,'Smelter Look-up'!$J:$J,0)))</f>
        <v>414</v>
      </c>
      <c r="X37" s="227">
        <f t="shared" si="4"/>
        <v>0</v>
      </c>
      <c r="AB37" s="228" t="str">
        <f t="shared" si="5"/>
        <v>TinCV Serumpun Sebalai</v>
      </c>
    </row>
    <row r="38" spans="1:28" s="227" customFormat="1" ht="38.25">
      <c r="A38" s="181" t="s">
        <v>15920</v>
      </c>
      <c r="B38" s="182" t="s">
        <v>1126</v>
      </c>
      <c r="C38" s="186" t="s">
        <v>15921</v>
      </c>
      <c r="D38" s="230" t="s">
        <v>15921</v>
      </c>
      <c r="E38" s="182" t="s">
        <v>1101</v>
      </c>
      <c r="F38" s="182" t="s">
        <v>15920</v>
      </c>
      <c r="G38" s="182" t="s">
        <v>15883</v>
      </c>
      <c r="H38" s="183">
        <v>0</v>
      </c>
      <c r="I38" s="184" t="s">
        <v>15143</v>
      </c>
      <c r="J38" s="184" t="s">
        <v>15884</v>
      </c>
      <c r="K38" s="224"/>
      <c r="L38" s="224"/>
      <c r="M38" s="224"/>
      <c r="N38" s="224"/>
      <c r="O38" s="224"/>
      <c r="P38" s="185"/>
      <c r="Q38" s="225" t="s">
        <v>15907</v>
      </c>
      <c r="R38" s="182" t="str">
        <f ca="1">IF(ISERROR($V38),"",OFFSET('Smelter Look-up'!$C$4,$V38-4,0)&amp;"")</f>
        <v/>
      </c>
      <c r="S38" s="181" t="str">
        <f t="shared" ref="S38:S68" ca="1" si="6">IF(B38="","",IF(ISERROR(MATCH($E38,CL,0)),"Unknown",INDIRECT("'C'!$A$"&amp;MATCH($E38,CL,0)+1)))</f>
        <v>ID</v>
      </c>
      <c r="T38" s="181" t="str">
        <f ca="1">IF(B38="","",IF(ISERROR(MATCH($J38,SorP!$B$1:$B$6279,0)),"",INDIRECT("'SorP'!$A$"&amp;MATCH($S38&amp;$J38,SorP!C:C,0))))</f>
        <v/>
      </c>
      <c r="U38" s="201"/>
      <c r="V38" s="226" t="e">
        <f>IF(C38="",NA(),IF(OR(C38="Smelter not listed",C38="Smelter not yet identified"),MATCH($B38&amp;$D38,'Smelter Look-up'!$J:$J,0),MATCH($B38&amp;$C38,'Smelter Look-up'!$J:$J,0)))</f>
        <v>#N/A</v>
      </c>
      <c r="X38" s="227">
        <f t="shared" ref="X38:X68" si="7">IF(AND(C38="Smelter not listed",OR(LEN(D38)=0,LEN(E38)=0)),1,0)</f>
        <v>0</v>
      </c>
      <c r="AB38" s="228" t="str">
        <f t="shared" ref="AB38:AB68" si="8">B38&amp;C38</f>
        <v>TinCV United Smelting</v>
      </c>
    </row>
    <row r="39" spans="1:28" s="227" customFormat="1" ht="76.5">
      <c r="A39" s="181" t="s">
        <v>669</v>
      </c>
      <c r="B39" s="182" t="s">
        <v>1125</v>
      </c>
      <c r="C39" s="186" t="s">
        <v>668</v>
      </c>
      <c r="D39" s="230"/>
      <c r="E39" s="182" t="s">
        <v>1096</v>
      </c>
      <c r="F39" s="182" t="s">
        <v>669</v>
      </c>
      <c r="G39" s="182" t="s">
        <v>13240</v>
      </c>
      <c r="H39" s="183"/>
      <c r="I39" s="184" t="s">
        <v>1572</v>
      </c>
      <c r="J39" s="184" t="s">
        <v>13622</v>
      </c>
      <c r="K39" s="224"/>
      <c r="L39" s="224"/>
      <c r="M39" s="224"/>
      <c r="N39" s="224"/>
      <c r="O39" s="224"/>
      <c r="P39" s="185"/>
      <c r="Q39" s="225"/>
      <c r="R39" s="182" t="str">
        <f ca="1">IF(ISERROR($V39),"",OFFSET('Smelter Look-up'!$C$4,$V39-4,0)&amp;"")</f>
        <v>Daye Non-Ferrous Metals Mining Ltd.</v>
      </c>
      <c r="S39" s="181" t="str">
        <f t="shared" ca="1" si="6"/>
        <v>CN</v>
      </c>
      <c r="T39" s="181" t="str">
        <f ca="1">IF(B39="","",IF(ISERROR(MATCH($J39,SorP!$B$1:$B$6279,0)),"",INDIRECT("'SorP'!$A$"&amp;MATCH($S39&amp;$J39,SorP!C:C,0))))</f>
        <v>CN-HB</v>
      </c>
      <c r="U39" s="201"/>
      <c r="V39" s="226">
        <f>IF(C39="",NA(),IF(OR(C39="Smelter not listed",C39="Smelter not yet identified"),MATCH($B39&amp;$D39,'Smelter Look-up'!$J:$J,0),MATCH($B39&amp;$C39,'Smelter Look-up'!$J:$J,0)))</f>
        <v>60</v>
      </c>
      <c r="X39" s="227">
        <f t="shared" si="7"/>
        <v>0</v>
      </c>
      <c r="AB39" s="228" t="str">
        <f t="shared" si="8"/>
        <v>GoldDaye Non-Ferrous Metals Mining Ltd.</v>
      </c>
    </row>
    <row r="40" spans="1:28" s="227" customFormat="1" ht="63.75">
      <c r="A40" s="181" t="s">
        <v>670</v>
      </c>
      <c r="B40" s="182" t="s">
        <v>1125</v>
      </c>
      <c r="C40" s="186" t="s">
        <v>2256</v>
      </c>
      <c r="D40" s="230"/>
      <c r="E40" s="182" t="s">
        <v>1107</v>
      </c>
      <c r="F40" s="182" t="s">
        <v>670</v>
      </c>
      <c r="G40" s="182" t="s">
        <v>13240</v>
      </c>
      <c r="H40" s="183" t="s">
        <v>15922</v>
      </c>
      <c r="I40" s="184" t="s">
        <v>1573</v>
      </c>
      <c r="J40" s="184" t="s">
        <v>12871</v>
      </c>
      <c r="K40" s="224" t="s">
        <v>15802</v>
      </c>
      <c r="L40" s="224" t="s">
        <v>15802</v>
      </c>
      <c r="M40" s="224" t="s">
        <v>15802</v>
      </c>
      <c r="N40" s="224" t="s">
        <v>15802</v>
      </c>
      <c r="O40" s="224" t="s">
        <v>15891</v>
      </c>
      <c r="P40" s="185" t="s">
        <v>488</v>
      </c>
      <c r="Q40" s="225" t="s">
        <v>15802</v>
      </c>
      <c r="R40" s="182" t="str">
        <f ca="1">IF(ISERROR($V40),"",OFFSET('Smelter Look-up'!$C$4,$V40-4,0)&amp;"")</f>
        <v>DSC (Do Sung Corporation)</v>
      </c>
      <c r="S40" s="181" t="str">
        <f t="shared" ca="1" si="6"/>
        <v>KR</v>
      </c>
      <c r="T40" s="181" t="str">
        <f ca="1">IF(B40="","",IF(ISERROR(MATCH($J40,SorP!$B$1:$B$6279,0)),"",INDIRECT("'SorP'!$A$"&amp;MATCH($S40&amp;$J40,SorP!C:C,0))))</f>
        <v>KR-41</v>
      </c>
      <c r="U40" s="201"/>
      <c r="V40" s="226">
        <f>IF(C40="",NA(),IF(OR(C40="Smelter not listed",C40="Smelter not yet identified"),MATCH($B40&amp;$D40,'Smelter Look-up'!$J:$J,0),MATCH($B40&amp;$C40,'Smelter Look-up'!$J:$J,0)))</f>
        <v>71</v>
      </c>
      <c r="X40" s="227">
        <f t="shared" si="7"/>
        <v>0</v>
      </c>
      <c r="AB40" s="228" t="str">
        <f t="shared" si="8"/>
        <v>GoldDSC (Do Sung Corporation)</v>
      </c>
    </row>
    <row r="41" spans="1:28" s="227" customFormat="1" ht="76.5">
      <c r="A41" s="181" t="s">
        <v>15816</v>
      </c>
      <c r="B41" s="182" t="s">
        <v>1125</v>
      </c>
      <c r="C41" s="186" t="s">
        <v>15817</v>
      </c>
      <c r="D41" s="230"/>
      <c r="E41" s="182" t="s">
        <v>1097</v>
      </c>
      <c r="F41" s="182" t="s">
        <v>15816</v>
      </c>
      <c r="G41" s="182" t="s">
        <v>13240</v>
      </c>
      <c r="H41" s="183">
        <v>0</v>
      </c>
      <c r="I41" s="184" t="s">
        <v>1542</v>
      </c>
      <c r="J41" s="184" t="s">
        <v>1543</v>
      </c>
      <c r="K41" s="224"/>
      <c r="L41" s="224"/>
      <c r="M41" s="224"/>
      <c r="N41" s="224"/>
      <c r="O41" s="224"/>
      <c r="P41" s="185"/>
      <c r="Q41" s="225"/>
      <c r="R41" s="182" t="str">
        <f ca="1">IF(ISERROR($V41),"",OFFSET('Smelter Look-up'!$C$4,$V41-4,0)&amp;"")</f>
        <v/>
      </c>
      <c r="S41" s="181" t="str">
        <f t="shared" ca="1" si="6"/>
        <v>DE</v>
      </c>
      <c r="T41" s="181" t="str">
        <f ca="1">IF(B41="","",IF(ISERROR(MATCH($J41,SorP!$B$1:$B$6279,0)),"",INDIRECT("'SorP'!$A$"&amp;MATCH($S41&amp;$J41,SorP!C:C,0))))</f>
        <v>DE-BW</v>
      </c>
      <c r="U41" s="201"/>
      <c r="V41" s="226" t="e">
        <f>IF(C41="",NA(),IF(OR(C41="Smelter not listed",C41="Smelter not yet identified"),MATCH($B41&amp;$D41,'Smelter Look-up'!$J:$J,0),MATCH($B41&amp;$C41,'Smelter Look-up'!$J:$J,0)))</f>
        <v>#N/A</v>
      </c>
      <c r="X41" s="227">
        <f t="shared" si="7"/>
        <v>0</v>
      </c>
      <c r="AB41" s="228" t="str">
        <f t="shared" si="8"/>
        <v>GoldDODUCO Contacts and Refining GmbH</v>
      </c>
    </row>
    <row r="42" spans="1:28" s="227" customFormat="1" ht="38.25">
      <c r="A42" s="181" t="s">
        <v>671</v>
      </c>
      <c r="B42" s="182" t="s">
        <v>1125</v>
      </c>
      <c r="C42" s="186" t="s">
        <v>902</v>
      </c>
      <c r="D42" s="230"/>
      <c r="E42" s="182" t="s">
        <v>1104</v>
      </c>
      <c r="F42" s="182" t="s">
        <v>671</v>
      </c>
      <c r="G42" s="182" t="s">
        <v>13240</v>
      </c>
      <c r="H42" s="183">
        <v>0</v>
      </c>
      <c r="I42" s="184" t="s">
        <v>1574</v>
      </c>
      <c r="J42" s="184" t="s">
        <v>1575</v>
      </c>
      <c r="K42" s="224"/>
      <c r="L42" s="224"/>
      <c r="M42" s="224"/>
      <c r="N42" s="224" t="s">
        <v>15897</v>
      </c>
      <c r="O42" s="224" t="s">
        <v>15897</v>
      </c>
      <c r="P42" s="185" t="s">
        <v>488</v>
      </c>
      <c r="Q42" s="225" t="s">
        <v>15899</v>
      </c>
      <c r="R42" s="182" t="str">
        <f ca="1">IF(ISERROR($V42),"",OFFSET('Smelter Look-up'!$C$4,$V42-4,0)&amp;"")</f>
        <v>Dowa</v>
      </c>
      <c r="S42" s="181" t="str">
        <f t="shared" ca="1" si="6"/>
        <v>JP</v>
      </c>
      <c r="T42" s="181" t="str">
        <f ca="1">IF(B42="","",IF(ISERROR(MATCH($J42,SorP!$B$1:$B$6279,0)),"",INDIRECT("'SorP'!$A$"&amp;MATCH($S42&amp;$J42,SorP!C:C,0))))</f>
        <v>JP-05</v>
      </c>
      <c r="U42" s="201"/>
      <c r="V42" s="226">
        <f>IF(C42="",NA(),IF(OR(C42="Smelter not listed",C42="Smelter not yet identified"),MATCH($B42&amp;$D42,'Smelter Look-up'!$J:$J,0),MATCH($B42&amp;$C42,'Smelter Look-up'!$J:$J,0)))</f>
        <v>67</v>
      </c>
      <c r="X42" s="227">
        <f t="shared" si="7"/>
        <v>0</v>
      </c>
      <c r="AB42" s="228" t="str">
        <f t="shared" si="8"/>
        <v>GoldDowa</v>
      </c>
    </row>
    <row r="43" spans="1:28" s="227" customFormat="1" ht="102">
      <c r="A43" s="181" t="s">
        <v>1405</v>
      </c>
      <c r="B43" s="182" t="s">
        <v>1126</v>
      </c>
      <c r="C43" s="186" t="s">
        <v>902</v>
      </c>
      <c r="D43" s="230"/>
      <c r="E43" s="182" t="s">
        <v>1104</v>
      </c>
      <c r="F43" s="182" t="s">
        <v>1405</v>
      </c>
      <c r="G43" s="182" t="s">
        <v>13240</v>
      </c>
      <c r="H43" s="183" t="s">
        <v>15923</v>
      </c>
      <c r="I43" s="184" t="s">
        <v>1574</v>
      </c>
      <c r="J43" s="184" t="s">
        <v>1575</v>
      </c>
      <c r="K43" s="224" t="s">
        <v>15924</v>
      </c>
      <c r="L43" s="224" t="s">
        <v>15925</v>
      </c>
      <c r="M43" s="224" t="s">
        <v>15926</v>
      </c>
      <c r="N43" s="224" t="s">
        <v>15927</v>
      </c>
      <c r="O43" s="224" t="s">
        <v>15927</v>
      </c>
      <c r="P43" s="185" t="s">
        <v>489</v>
      </c>
      <c r="Q43" s="225" t="s">
        <v>15928</v>
      </c>
      <c r="R43" s="182" t="str">
        <f ca="1">IF(ISERROR($V43),"",OFFSET('Smelter Look-up'!$C$4,$V43-4,0)&amp;"")</f>
        <v>Dowa</v>
      </c>
      <c r="S43" s="181" t="str">
        <f t="shared" ca="1" si="6"/>
        <v>JP</v>
      </c>
      <c r="T43" s="181" t="str">
        <f ca="1">IF(B43="","",IF(ISERROR(MATCH($J43,SorP!$B$1:$B$6279,0)),"",INDIRECT("'SorP'!$A$"&amp;MATCH($S43&amp;$J43,SorP!C:C,0))))</f>
        <v>JP-05</v>
      </c>
      <c r="U43" s="201"/>
      <c r="V43" s="226">
        <f>IF(C43="",NA(),IF(OR(C43="Smelter not listed",C43="Smelter not yet identified"),MATCH($B43&amp;$D43,'Smelter Look-up'!$J:$J,0),MATCH($B43&amp;$C43,'Smelter Look-up'!$J:$J,0)))</f>
        <v>417</v>
      </c>
      <c r="X43" s="227">
        <f t="shared" si="7"/>
        <v>0</v>
      </c>
      <c r="AB43" s="228" t="str">
        <f t="shared" si="8"/>
        <v>TinDowa</v>
      </c>
    </row>
    <row r="44" spans="1:28" s="227" customFormat="1" ht="89.25">
      <c r="A44" s="181" t="s">
        <v>397</v>
      </c>
      <c r="B44" s="182" t="s">
        <v>1125</v>
      </c>
      <c r="C44" s="186" t="s">
        <v>13839</v>
      </c>
      <c r="D44" s="230"/>
      <c r="E44" s="182" t="s">
        <v>1104</v>
      </c>
      <c r="F44" s="182" t="s">
        <v>397</v>
      </c>
      <c r="G44" s="182" t="s">
        <v>13240</v>
      </c>
      <c r="H44" s="183">
        <v>0</v>
      </c>
      <c r="I44" s="184" t="s">
        <v>1579</v>
      </c>
      <c r="J44" s="184" t="s">
        <v>1580</v>
      </c>
      <c r="K44" s="224"/>
      <c r="L44" s="224"/>
      <c r="M44" s="224"/>
      <c r="N44" s="224" t="s">
        <v>15897</v>
      </c>
      <c r="O44" s="224" t="s">
        <v>15897</v>
      </c>
      <c r="P44" s="185" t="s">
        <v>488</v>
      </c>
      <c r="Q44" s="225" t="s">
        <v>15899</v>
      </c>
      <c r="R44" s="182" t="str">
        <f ca="1">IF(ISERROR($V44),"",OFFSET('Smelter Look-up'!$C$4,$V44-4,0)&amp;"")</f>
        <v>Eco-System Recycling Co., Ltd. East Plant</v>
      </c>
      <c r="S44" s="181" t="str">
        <f t="shared" ca="1" si="6"/>
        <v>JP</v>
      </c>
      <c r="T44" s="181" t="str">
        <f ca="1">IF(B44="","",IF(ISERROR(MATCH($J44,SorP!$B$1:$B$6279,0)),"",INDIRECT("'SorP'!$A$"&amp;MATCH($S44&amp;$J44,SorP!C:C,0))))</f>
        <v>JP-11</v>
      </c>
      <c r="U44" s="201"/>
      <c r="V44" s="226">
        <f>IF(C44="",NA(),IF(OR(C44="Smelter not listed",C44="Smelter not yet identified"),MATCH($B44&amp;$D44,'Smelter Look-up'!$J:$J,0),MATCH($B44&amp;$C44,'Smelter Look-up'!$J:$J,0)))</f>
        <v>72</v>
      </c>
      <c r="X44" s="227">
        <f t="shared" si="7"/>
        <v>0</v>
      </c>
      <c r="AB44" s="228" t="str">
        <f t="shared" si="8"/>
        <v>GoldEco-System Recycling Co., Ltd. East Plant</v>
      </c>
    </row>
    <row r="45" spans="1:28" s="227" customFormat="1" ht="38.25">
      <c r="A45" s="181" t="s">
        <v>764</v>
      </c>
      <c r="B45" s="182" t="s">
        <v>1126</v>
      </c>
      <c r="C45" s="186" t="s">
        <v>838</v>
      </c>
      <c r="D45" s="230"/>
      <c r="E45" s="182" t="s">
        <v>2430</v>
      </c>
      <c r="F45" s="182" t="s">
        <v>764</v>
      </c>
      <c r="G45" s="182" t="s">
        <v>13240</v>
      </c>
      <c r="H45" s="183">
        <v>0</v>
      </c>
      <c r="I45" s="184" t="s">
        <v>1769</v>
      </c>
      <c r="J45" s="184" t="s">
        <v>1769</v>
      </c>
      <c r="K45" s="224"/>
      <c r="L45" s="224"/>
      <c r="M45" s="224"/>
      <c r="N45" s="224"/>
      <c r="O45" s="224" t="s">
        <v>15929</v>
      </c>
      <c r="P45" s="185" t="s">
        <v>489</v>
      </c>
      <c r="Q45" s="225" t="s">
        <v>15913</v>
      </c>
      <c r="R45" s="182" t="str">
        <f ca="1">IF(ISERROR($V45),"",OFFSET('Smelter Look-up'!$C$4,$V45-4,0)&amp;"")</f>
        <v>EM Vinto</v>
      </c>
      <c r="S45" s="181" t="str">
        <f t="shared" ca="1" si="6"/>
        <v>BO</v>
      </c>
      <c r="T45" s="181" t="str">
        <f ca="1">IF(B45="","",IF(ISERROR(MATCH($J45,SorP!$B$1:$B$6279,0)),"",INDIRECT("'SorP'!$A$"&amp;MATCH($S45&amp;$J45,SorP!C:C,0))))</f>
        <v>BO-O</v>
      </c>
      <c r="U45" s="201"/>
      <c r="V45" s="226">
        <f>IF(C45="",NA(),IF(OR(C45="Smelter not listed",C45="Smelter not yet identified"),MATCH($B45&amp;$D45,'Smelter Look-up'!$J:$J,0),MATCH($B45&amp;$C45,'Smelter Look-up'!$J:$J,0)))</f>
        <v>421</v>
      </c>
      <c r="X45" s="227">
        <f t="shared" si="7"/>
        <v>0</v>
      </c>
      <c r="AB45" s="228" t="str">
        <f t="shared" si="8"/>
        <v>TinEM Vinto</v>
      </c>
    </row>
    <row r="46" spans="1:28" s="227" customFormat="1" ht="51">
      <c r="A46" s="181" t="s">
        <v>765</v>
      </c>
      <c r="B46" s="182" t="s">
        <v>1126</v>
      </c>
      <c r="C46" s="186" t="s">
        <v>12426</v>
      </c>
      <c r="D46" s="230"/>
      <c r="E46" s="182" t="s">
        <v>1092</v>
      </c>
      <c r="F46" s="182" t="s">
        <v>765</v>
      </c>
      <c r="G46" s="182" t="s">
        <v>13240</v>
      </c>
      <c r="H46" s="183" t="s">
        <v>15802</v>
      </c>
      <c r="I46" s="184" t="s">
        <v>1766</v>
      </c>
      <c r="J46" s="184" t="s">
        <v>1770</v>
      </c>
      <c r="K46" s="224" t="s">
        <v>15802</v>
      </c>
      <c r="L46" s="224" t="s">
        <v>15802</v>
      </c>
      <c r="M46" s="224" t="s">
        <v>15894</v>
      </c>
      <c r="N46" s="224" t="s">
        <v>15802</v>
      </c>
      <c r="O46" s="224" t="s">
        <v>15886</v>
      </c>
      <c r="P46" s="185" t="s">
        <v>489</v>
      </c>
      <c r="Q46" s="225" t="s">
        <v>15802</v>
      </c>
      <c r="R46" s="182" t="str">
        <f ca="1">IF(ISERROR($V46),"",OFFSET('Smelter Look-up'!$C$4,$V46-4,0)&amp;"")</f>
        <v>Estanho de Rondonia S.A.</v>
      </c>
      <c r="S46" s="181" t="str">
        <f t="shared" ca="1" si="6"/>
        <v>BR</v>
      </c>
      <c r="T46" s="181" t="str">
        <f ca="1">IF(B46="","",IF(ISERROR(MATCH($J46,SorP!$B$1:$B$6279,0)),"",INDIRECT("'SorP'!$A$"&amp;MATCH($S46&amp;$J46,SorP!C:C,0))))</f>
        <v>BR-RO</v>
      </c>
      <c r="U46" s="201"/>
      <c r="V46" s="226">
        <f>IF(C46="",NA(),IF(OR(C46="Smelter not listed",C46="Smelter not yet identified"),MATCH($B46&amp;$D46,'Smelter Look-up'!$J:$J,0),MATCH($B46&amp;$C46,'Smelter Look-up'!$J:$J,0)))</f>
        <v>425</v>
      </c>
      <c r="X46" s="227">
        <f t="shared" si="7"/>
        <v>0</v>
      </c>
      <c r="AB46" s="228" t="str">
        <f t="shared" si="8"/>
        <v>TinEstanho de Rondonia S.A.</v>
      </c>
    </row>
    <row r="47" spans="1:28" s="227" customFormat="1" ht="38.25">
      <c r="A47" s="181" t="s">
        <v>15833</v>
      </c>
      <c r="B47" s="182" t="s">
        <v>1127</v>
      </c>
      <c r="C47" s="186" t="s">
        <v>15834</v>
      </c>
      <c r="D47" s="230"/>
      <c r="E47" s="182" t="s">
        <v>2432</v>
      </c>
      <c r="F47" s="182" t="s">
        <v>15833</v>
      </c>
      <c r="G47" s="182" t="s">
        <v>13240</v>
      </c>
      <c r="H47" s="183">
        <v>0</v>
      </c>
      <c r="I47" s="184" t="s">
        <v>15835</v>
      </c>
      <c r="J47" s="184" t="s">
        <v>1696</v>
      </c>
      <c r="K47" s="224"/>
      <c r="L47" s="224"/>
      <c r="M47" s="224"/>
      <c r="N47" s="224"/>
      <c r="O47" s="224"/>
      <c r="P47" s="185"/>
      <c r="Q47" s="225" t="s">
        <v>15815</v>
      </c>
      <c r="R47" s="182" t="str">
        <f ca="1">IF(ISERROR($V47),"",OFFSET('Smelter Look-up'!$C$4,$V47-4,0)&amp;"")</f>
        <v/>
      </c>
      <c r="S47" s="181" t="str">
        <f t="shared" ca="1" si="6"/>
        <v>US</v>
      </c>
      <c r="T47" s="181" t="str">
        <f ca="1">IF(B47="","",IF(ISERROR(MATCH($J47,SorP!$B$1:$B$6279,0)),"",INDIRECT("'SorP'!$A$"&amp;MATCH($S47&amp;$J47,SorP!C:C,0))))</f>
        <v>US-FL</v>
      </c>
      <c r="U47" s="201"/>
      <c r="V47" s="226" t="e">
        <f>IF(C47="",NA(),IF(OR(C47="Smelter not listed",C47="Smelter not yet identified"),MATCH($B47&amp;$D47,'Smelter Look-up'!$J:$J,0),MATCH($B47&amp;$C47,'Smelter Look-up'!$J:$J,0)))</f>
        <v>#N/A</v>
      </c>
      <c r="X47" s="227">
        <f t="shared" si="7"/>
        <v>0</v>
      </c>
      <c r="AB47" s="228" t="str">
        <f t="shared" si="8"/>
        <v>TantalumExotech Inc.</v>
      </c>
    </row>
    <row r="48" spans="1:28" s="227" customFormat="1" ht="63.75">
      <c r="A48" s="181" t="s">
        <v>746</v>
      </c>
      <c r="B48" s="182" t="s">
        <v>1127</v>
      </c>
      <c r="C48" s="186" t="s">
        <v>45</v>
      </c>
      <c r="D48" s="230"/>
      <c r="E48" s="182" t="s">
        <v>1096</v>
      </c>
      <c r="F48" s="182" t="s">
        <v>746</v>
      </c>
      <c r="G48" s="182" t="s">
        <v>13240</v>
      </c>
      <c r="H48" s="183" t="s">
        <v>15802</v>
      </c>
      <c r="I48" s="184" t="s">
        <v>1717</v>
      </c>
      <c r="J48" s="184" t="s">
        <v>13624</v>
      </c>
      <c r="K48" s="224" t="s">
        <v>15802</v>
      </c>
      <c r="L48" s="224" t="s">
        <v>15802</v>
      </c>
      <c r="M48" s="224" t="s">
        <v>15885</v>
      </c>
      <c r="N48" s="224" t="s">
        <v>15802</v>
      </c>
      <c r="O48" s="224" t="s">
        <v>15887</v>
      </c>
      <c r="P48" s="185" t="s">
        <v>489</v>
      </c>
      <c r="Q48" s="225" t="s">
        <v>15888</v>
      </c>
      <c r="R48" s="182" t="str">
        <f ca="1">IF(ISERROR($V48),"",OFFSET('Smelter Look-up'!$C$4,$V48-4,0)&amp;"")</f>
        <v>F&amp;X Electro-Materials Ltd.</v>
      </c>
      <c r="S48" s="181" t="str">
        <f t="shared" ca="1" si="6"/>
        <v>CN</v>
      </c>
      <c r="T48" s="181" t="str">
        <f ca="1">IF(B48="","",IF(ISERROR(MATCH($J48,SorP!$B$1:$B$6279,0)),"",INDIRECT("'SorP'!$A$"&amp;MATCH($S48&amp;$J48,SorP!C:C,0))))</f>
        <v>CN-GD</v>
      </c>
      <c r="U48" s="201"/>
      <c r="V48" s="226">
        <f>IF(C48="",NA(),IF(OR(C48="Smelter not listed",C48="Smelter not yet identified"),MATCH($B48&amp;$D48,'Smelter Look-up'!$J:$J,0),MATCH($B48&amp;$C48,'Smelter Look-up'!$J:$J,0)))</f>
        <v>328</v>
      </c>
      <c r="X48" s="227">
        <f t="shared" si="7"/>
        <v>0</v>
      </c>
      <c r="AB48" s="228" t="str">
        <f t="shared" si="8"/>
        <v>TantalumF&amp;X Electro-Materials Ltd.</v>
      </c>
    </row>
    <row r="49" spans="1:28" s="227" customFormat="1" ht="25.5">
      <c r="A49" s="181" t="s">
        <v>766</v>
      </c>
      <c r="B49" s="182" t="s">
        <v>1126</v>
      </c>
      <c r="C49" s="186" t="s">
        <v>811</v>
      </c>
      <c r="D49" s="230"/>
      <c r="E49" s="182" t="s">
        <v>878</v>
      </c>
      <c r="F49" s="182" t="s">
        <v>766</v>
      </c>
      <c r="G49" s="182" t="s">
        <v>13240</v>
      </c>
      <c r="H49" s="183" t="s">
        <v>15802</v>
      </c>
      <c r="I49" s="184" t="s">
        <v>1771</v>
      </c>
      <c r="J49" s="184" t="s">
        <v>9501</v>
      </c>
      <c r="K49" s="224" t="s">
        <v>15802</v>
      </c>
      <c r="L49" s="224" t="s">
        <v>15802</v>
      </c>
      <c r="M49" s="224" t="s">
        <v>15885</v>
      </c>
      <c r="N49" s="224" t="s">
        <v>15802</v>
      </c>
      <c r="O49" s="224" t="s">
        <v>15886</v>
      </c>
      <c r="P49" s="185" t="s">
        <v>489</v>
      </c>
      <c r="Q49" s="225" t="s">
        <v>15802</v>
      </c>
      <c r="R49" s="182" t="str">
        <f ca="1">IF(ISERROR($V49),"",OFFSET('Smelter Look-up'!$C$4,$V49-4,0)&amp;"")</f>
        <v>Fenix Metals</v>
      </c>
      <c r="S49" s="181" t="str">
        <f t="shared" ca="1" si="6"/>
        <v>PL</v>
      </c>
      <c r="T49" s="181" t="str">
        <f ca="1">IF(B49="","",IF(ISERROR(MATCH($J49,SorP!$B$1:$B$6279,0)),"",INDIRECT("'SorP'!$A$"&amp;MATCH($S49&amp;$J49,SorP!C:C,0))))</f>
        <v>PL-18</v>
      </c>
      <c r="U49" s="201"/>
      <c r="V49" s="226">
        <f>IF(C49="",NA(),IF(OR(C49="Smelter not listed",C49="Smelter not yet identified"),MATCH($B49&amp;$D49,'Smelter Look-up'!$J:$J,0),MATCH($B49&amp;$C49,'Smelter Look-up'!$J:$J,0)))</f>
        <v>430</v>
      </c>
      <c r="X49" s="227">
        <f t="shared" si="7"/>
        <v>0</v>
      </c>
      <c r="AB49" s="228" t="str">
        <f t="shared" si="8"/>
        <v>TinFenix Metals</v>
      </c>
    </row>
    <row r="50" spans="1:28" s="227" customFormat="1" ht="63.75">
      <c r="A50" s="181" t="s">
        <v>672</v>
      </c>
      <c r="B50" s="182" t="s">
        <v>1125</v>
      </c>
      <c r="C50" s="186" t="s">
        <v>2199</v>
      </c>
      <c r="D50" s="230"/>
      <c r="E50" s="182" t="s">
        <v>879</v>
      </c>
      <c r="F50" s="182" t="s">
        <v>672</v>
      </c>
      <c r="G50" s="182" t="s">
        <v>13240</v>
      </c>
      <c r="H50" s="183">
        <v>0</v>
      </c>
      <c r="I50" s="184" t="s">
        <v>1581</v>
      </c>
      <c r="J50" s="184" t="s">
        <v>10005</v>
      </c>
      <c r="K50" s="224"/>
      <c r="L50" s="224"/>
      <c r="M50" s="224"/>
      <c r="N50" s="224"/>
      <c r="O50" s="224"/>
      <c r="P50" s="185"/>
      <c r="Q50" s="225" t="s">
        <v>15815</v>
      </c>
      <c r="R50" s="182" t="str">
        <f ca="1">IF(ISERROR($V50),"",OFFSET('Smelter Look-up'!$C$4,$V50-4,0)&amp;"")</f>
        <v>JSC Novosibirsk Refinery</v>
      </c>
      <c r="S50" s="181" t="str">
        <f t="shared" ca="1" si="6"/>
        <v>RU</v>
      </c>
      <c r="T50" s="181" t="str">
        <f ca="1">IF(B50="","",IF(ISERROR(MATCH($J50,SorP!$B$1:$B$6279,0)),"",INDIRECT("'SorP'!$A$"&amp;MATCH($S50&amp;$J50,SorP!C:C,0))))</f>
        <v>RU-NVS</v>
      </c>
      <c r="U50" s="201"/>
      <c r="V50" s="226">
        <f>IF(C50="",NA(),IF(OR(C50="Smelter not listed",C50="Smelter not yet identified"),MATCH($B50&amp;$D50,'Smelter Look-up'!$J:$J,0),MATCH($B50&amp;$C50,'Smelter Look-up'!$J:$J,0)))</f>
        <v>201</v>
      </c>
      <c r="X50" s="227">
        <f t="shared" si="7"/>
        <v>0</v>
      </c>
      <c r="AB50" s="228" t="str">
        <f t="shared" si="8"/>
        <v>GoldOJSC Novosibirsk Refinery</v>
      </c>
    </row>
    <row r="51" spans="1:28" s="227" customFormat="1" ht="76.5">
      <c r="A51" s="181" t="s">
        <v>15861</v>
      </c>
      <c r="B51" s="182" t="s">
        <v>1128</v>
      </c>
      <c r="C51" s="186" t="s">
        <v>15862</v>
      </c>
      <c r="D51" s="230"/>
      <c r="E51" s="182" t="s">
        <v>1096</v>
      </c>
      <c r="F51" s="182" t="s">
        <v>15861</v>
      </c>
      <c r="G51" s="182" t="s">
        <v>13240</v>
      </c>
      <c r="H51" s="183">
        <v>0</v>
      </c>
      <c r="I51" s="184" t="s">
        <v>15863</v>
      </c>
      <c r="J51" s="184" t="s">
        <v>13618</v>
      </c>
      <c r="K51" s="224"/>
      <c r="L51" s="224"/>
      <c r="M51" s="224"/>
      <c r="N51" s="224"/>
      <c r="O51" s="224"/>
      <c r="P51" s="185"/>
      <c r="Q51" s="225" t="s">
        <v>15815</v>
      </c>
      <c r="R51" s="182" t="str">
        <f ca="1">IF(ISERROR($V51),"",OFFSET('Smelter Look-up'!$C$4,$V51-4,0)&amp;"")</f>
        <v/>
      </c>
      <c r="S51" s="181" t="str">
        <f t="shared" ca="1" si="6"/>
        <v>CN</v>
      </c>
      <c r="T51" s="181" t="str">
        <f ca="1">IF(B51="","",IF(ISERROR(MATCH($J51,SorP!$B$1:$B$6279,0)),"",INDIRECT("'SorP'!$A$"&amp;MATCH($S51&amp;$J51,SorP!C:C,0))))</f>
        <v>CN-FJ</v>
      </c>
      <c r="U51" s="201"/>
      <c r="V51" s="226" t="e">
        <f>IF(C51="",NA(),IF(OR(C51="Smelter not listed",C51="Smelter not yet identified"),MATCH($B51&amp;$D51,'Smelter Look-up'!$J:$J,0),MATCH($B51&amp;$C51,'Smelter Look-up'!$J:$J,0)))</f>
        <v>#N/A</v>
      </c>
      <c r="X51" s="227">
        <f t="shared" si="7"/>
        <v>0</v>
      </c>
      <c r="AB51" s="228" t="str">
        <f t="shared" si="8"/>
        <v>TungstenFujian Jinxin Tungsten Co., Ltd.</v>
      </c>
    </row>
    <row r="52" spans="1:28" s="227" customFormat="1" ht="76.5">
      <c r="A52" s="181" t="s">
        <v>673</v>
      </c>
      <c r="B52" s="182" t="s">
        <v>1125</v>
      </c>
      <c r="C52" s="186" t="s">
        <v>12922</v>
      </c>
      <c r="D52" s="230"/>
      <c r="E52" s="182" t="s">
        <v>1096</v>
      </c>
      <c r="F52" s="182" t="s">
        <v>673</v>
      </c>
      <c r="G52" s="182" t="s">
        <v>13240</v>
      </c>
      <c r="H52" s="183"/>
      <c r="I52" s="184" t="s">
        <v>1582</v>
      </c>
      <c r="J52" s="184" t="s">
        <v>13630</v>
      </c>
      <c r="K52" s="224"/>
      <c r="L52" s="224"/>
      <c r="M52" s="224"/>
      <c r="N52" s="224"/>
      <c r="O52" s="224"/>
      <c r="P52" s="185"/>
      <c r="Q52" s="225"/>
      <c r="R52" s="182" t="str">
        <f ca="1">IF(ISERROR($V52),"",OFFSET('Smelter Look-up'!$C$4,$V52-4,0)&amp;"")</f>
        <v>Refinery of Seemine Gold Co., Ltd.</v>
      </c>
      <c r="S52" s="181" t="str">
        <f t="shared" ca="1" si="6"/>
        <v>CN</v>
      </c>
      <c r="T52" s="181" t="str">
        <f ca="1">IF(B52="","",IF(ISERROR(MATCH($J52,SorP!$B$1:$B$6279,0)),"",INDIRECT("'SorP'!$A$"&amp;MATCH($S52&amp;$J52,SorP!C:C,0))))</f>
        <v>CN-GS</v>
      </c>
      <c r="U52" s="201"/>
      <c r="V52" s="226">
        <f>IF(C52="",NA(),IF(OR(C52="Smelter not listed",C52="Smelter not yet identified"),MATCH($B52&amp;$D52,'Smelter Look-up'!$J:$J,0),MATCH($B52&amp;$C52,'Smelter Look-up'!$J:$J,0)))</f>
        <v>217</v>
      </c>
      <c r="X52" s="227">
        <f t="shared" si="7"/>
        <v>0</v>
      </c>
      <c r="AB52" s="228" t="str">
        <f t="shared" si="8"/>
        <v>GoldRefinery of Seemine Gold Co., Ltd.</v>
      </c>
    </row>
    <row r="53" spans="1:28" s="227" customFormat="1" ht="89.25">
      <c r="A53" s="181" t="s">
        <v>767</v>
      </c>
      <c r="B53" s="182" t="s">
        <v>1126</v>
      </c>
      <c r="C53" s="186" t="s">
        <v>2144</v>
      </c>
      <c r="D53" s="230"/>
      <c r="E53" s="182" t="s">
        <v>1096</v>
      </c>
      <c r="F53" s="182" t="s">
        <v>767</v>
      </c>
      <c r="G53" s="182" t="s">
        <v>13240</v>
      </c>
      <c r="H53" s="183">
        <v>0</v>
      </c>
      <c r="I53" s="184" t="s">
        <v>2446</v>
      </c>
      <c r="J53" s="184" t="s">
        <v>13628</v>
      </c>
      <c r="K53" s="224"/>
      <c r="L53" s="224"/>
      <c r="M53" s="224"/>
      <c r="N53" s="224"/>
      <c r="O53" s="224" t="s">
        <v>15900</v>
      </c>
      <c r="P53" s="185" t="s">
        <v>489</v>
      </c>
      <c r="Q53" s="225" t="s">
        <v>15913</v>
      </c>
      <c r="R53" s="182" t="str">
        <f ca="1">IF(ISERROR($V53),"",OFFSET('Smelter Look-up'!$C$4,$V53-4,0)&amp;"")</f>
        <v>Gejiu Non-Ferrous Metal Processing Co., Ltd.</v>
      </c>
      <c r="S53" s="181" t="str">
        <f t="shared" ca="1" si="6"/>
        <v>CN</v>
      </c>
      <c r="T53" s="181" t="str">
        <f ca="1">IF(B53="","",IF(ISERROR(MATCH($J53,SorP!$B$1:$B$6279,0)),"",INDIRECT("'SorP'!$A$"&amp;MATCH($S53&amp;$J53,SorP!C:C,0))))</f>
        <v>CN-YN</v>
      </c>
      <c r="U53" s="201"/>
      <c r="V53" s="226">
        <f>IF(C53="",NA(),IF(OR(C53="Smelter not listed",C53="Smelter not yet identified"),MATCH($B53&amp;$D53,'Smelter Look-up'!$J:$J,0),MATCH($B53&amp;$C53,'Smelter Look-up'!$J:$J,0)))</f>
        <v>436</v>
      </c>
      <c r="X53" s="227">
        <f t="shared" si="7"/>
        <v>0</v>
      </c>
      <c r="AB53" s="228" t="str">
        <f t="shared" si="8"/>
        <v>TinGejiu Non-Ferrous Metal Processing Co., Ltd.</v>
      </c>
    </row>
    <row r="54" spans="1:28" s="227" customFormat="1" ht="89.25">
      <c r="A54" s="181" t="s">
        <v>768</v>
      </c>
      <c r="B54" s="182" t="s">
        <v>1126</v>
      </c>
      <c r="C54" s="186" t="s">
        <v>1772</v>
      </c>
      <c r="D54" s="230"/>
      <c r="E54" s="182" t="s">
        <v>1096</v>
      </c>
      <c r="F54" s="182" t="s">
        <v>768</v>
      </c>
      <c r="G54" s="182" t="s">
        <v>13240</v>
      </c>
      <c r="H54" s="183">
        <v>0</v>
      </c>
      <c r="I54" s="184" t="s">
        <v>2446</v>
      </c>
      <c r="J54" s="184" t="s">
        <v>13628</v>
      </c>
      <c r="K54" s="224"/>
      <c r="L54" s="224"/>
      <c r="M54" s="224"/>
      <c r="N54" s="224"/>
      <c r="O54" s="224"/>
      <c r="P54" s="185"/>
      <c r="Q54" s="225" t="s">
        <v>15815</v>
      </c>
      <c r="R54" s="182" t="str">
        <f ca="1">IF(ISERROR($V54),"",OFFSET('Smelter Look-up'!$C$4,$V54-4,0)&amp;"")</f>
        <v>Gejiu Zili Mining And Metallurgy Co., Ltd.</v>
      </c>
      <c r="S54" s="181" t="str">
        <f t="shared" ca="1" si="6"/>
        <v>CN</v>
      </c>
      <c r="T54" s="181" t="str">
        <f ca="1">IF(B54="","",IF(ISERROR(MATCH($J54,SorP!$B$1:$B$6279,0)),"",INDIRECT("'SorP'!$A$"&amp;MATCH($S54&amp;$J54,SorP!C:C,0))))</f>
        <v>CN-YN</v>
      </c>
      <c r="U54" s="201"/>
      <c r="V54" s="226">
        <f>IF(C54="",NA(),IF(OR(C54="Smelter not listed",C54="Smelter not yet identified"),MATCH($B54&amp;$D54,'Smelter Look-up'!$J:$J,0),MATCH($B54&amp;$C54,'Smelter Look-up'!$J:$J,0)))</f>
        <v>439</v>
      </c>
      <c r="X54" s="227">
        <f t="shared" si="7"/>
        <v>0</v>
      </c>
      <c r="AB54" s="228" t="str">
        <f t="shared" si="8"/>
        <v>TinGejiu Zili Mining And Metallurgy Co., Ltd.</v>
      </c>
    </row>
    <row r="55" spans="1:28" s="227" customFormat="1" ht="76.5">
      <c r="A55" s="181" t="s">
        <v>792</v>
      </c>
      <c r="B55" s="182" t="s">
        <v>1128</v>
      </c>
      <c r="C55" s="186" t="s">
        <v>1</v>
      </c>
      <c r="D55" s="230"/>
      <c r="E55" s="182" t="s">
        <v>2432</v>
      </c>
      <c r="F55" s="182" t="s">
        <v>792</v>
      </c>
      <c r="G55" s="182" t="s">
        <v>13240</v>
      </c>
      <c r="H55" s="183" t="s">
        <v>15802</v>
      </c>
      <c r="I55" s="184" t="s">
        <v>1826</v>
      </c>
      <c r="J55" s="184" t="s">
        <v>1737</v>
      </c>
      <c r="K55" s="224" t="s">
        <v>15802</v>
      </c>
      <c r="L55" s="224" t="s">
        <v>15802</v>
      </c>
      <c r="M55" s="224" t="s">
        <v>15885</v>
      </c>
      <c r="N55" s="224" t="s">
        <v>15802</v>
      </c>
      <c r="O55" s="224" t="s">
        <v>15887</v>
      </c>
      <c r="P55" s="185" t="s">
        <v>489</v>
      </c>
      <c r="Q55" s="225" t="s">
        <v>15888</v>
      </c>
      <c r="R55" s="182" t="str">
        <f ca="1">IF(ISERROR($V55),"",OFFSET('Smelter Look-up'!$C$4,$V55-4,0)&amp;"")</f>
        <v>Global Tungsten &amp; Powders Corp.</v>
      </c>
      <c r="S55" s="181" t="str">
        <f t="shared" ca="1" si="6"/>
        <v>US</v>
      </c>
      <c r="T55" s="181" t="str">
        <f ca="1">IF(B55="","",IF(ISERROR(MATCH($J55,SorP!$B$1:$B$6279,0)),"",INDIRECT("'SorP'!$A$"&amp;MATCH($S55&amp;$J55,SorP!C:C,0))))</f>
        <v>US-PA</v>
      </c>
      <c r="U55" s="201"/>
      <c r="V55" s="226">
        <f>IF(C55="",NA(),IF(OR(C55="Smelter not listed",C55="Smelter not yet identified"),MATCH($B55&amp;$D55,'Smelter Look-up'!$J:$J,0),MATCH($B55&amp;$C55,'Smelter Look-up'!$J:$J,0)))</f>
        <v>585</v>
      </c>
      <c r="X55" s="227">
        <f t="shared" si="7"/>
        <v>0</v>
      </c>
      <c r="AB55" s="228" t="str">
        <f t="shared" si="8"/>
        <v>TungstenGlobal Tungsten &amp; Powders Corp.</v>
      </c>
    </row>
    <row r="56" spans="1:28" s="227" customFormat="1" ht="89.25">
      <c r="A56" s="181" t="s">
        <v>748</v>
      </c>
      <c r="B56" s="182" t="s">
        <v>1127</v>
      </c>
      <c r="C56" s="186" t="s">
        <v>15079</v>
      </c>
      <c r="D56" s="230"/>
      <c r="E56" s="182" t="s">
        <v>1096</v>
      </c>
      <c r="F56" s="182" t="s">
        <v>748</v>
      </c>
      <c r="G56" s="182" t="s">
        <v>13240</v>
      </c>
      <c r="H56" s="183" t="s">
        <v>15802</v>
      </c>
      <c r="I56" s="184" t="s">
        <v>1719</v>
      </c>
      <c r="J56" s="184" t="s">
        <v>13624</v>
      </c>
      <c r="K56" s="224" t="s">
        <v>15802</v>
      </c>
      <c r="L56" s="224" t="s">
        <v>15802</v>
      </c>
      <c r="M56" s="224" t="s">
        <v>15885</v>
      </c>
      <c r="N56" s="224" t="s">
        <v>15802</v>
      </c>
      <c r="O56" s="224" t="s">
        <v>15887</v>
      </c>
      <c r="P56" s="185" t="s">
        <v>489</v>
      </c>
      <c r="Q56" s="225" t="s">
        <v>15888</v>
      </c>
      <c r="R56" s="182" t="str">
        <f ca="1">IF(ISERROR($V56),"",OFFSET('Smelter Look-up'!$C$4,$V56-4,0)&amp;"")</f>
        <v>XIMEI RESOURCES (GUANGDONG) LIMITED</v>
      </c>
      <c r="S56" s="181" t="str">
        <f t="shared" ca="1" si="6"/>
        <v>CN</v>
      </c>
      <c r="T56" s="181" t="str">
        <f ca="1">IF(B56="","",IF(ISERROR(MATCH($J56,SorP!$B$1:$B$6279,0)),"",INDIRECT("'SorP'!$A$"&amp;MATCH($S56&amp;$J56,SorP!C:C,0))))</f>
        <v>CN-GD</v>
      </c>
      <c r="U56" s="201"/>
      <c r="V56" s="226">
        <f>IF(C56="",NA(),IF(OR(C56="Smelter not listed",C56="Smelter not yet identified"),MATCH($B56&amp;$D56,'Smelter Look-up'!$J:$J,0),MATCH($B56&amp;$C56,'Smelter Look-up'!$J:$J,0)))</f>
        <v>380</v>
      </c>
      <c r="X56" s="227">
        <f t="shared" si="7"/>
        <v>0</v>
      </c>
      <c r="AB56" s="228" t="str">
        <f t="shared" si="8"/>
        <v>TantalumXIMEI RESOURCES (GUANGDONG) LIMITED</v>
      </c>
    </row>
    <row r="57" spans="1:28" s="227" customFormat="1" ht="38.25">
      <c r="A57" s="181" t="s">
        <v>2498</v>
      </c>
      <c r="B57" s="182" t="s">
        <v>1125</v>
      </c>
      <c r="C57" s="186" t="s">
        <v>13844</v>
      </c>
      <c r="D57" s="230"/>
      <c r="E57" s="182" t="s">
        <v>1107</v>
      </c>
      <c r="F57" s="182" t="s">
        <v>2498</v>
      </c>
      <c r="G57" s="182" t="s">
        <v>13240</v>
      </c>
      <c r="H57" s="183" t="s">
        <v>15802</v>
      </c>
      <c r="I57" s="184" t="s">
        <v>2499</v>
      </c>
      <c r="J57" s="184" t="s">
        <v>12866</v>
      </c>
      <c r="K57" s="224" t="s">
        <v>15802</v>
      </c>
      <c r="L57" s="224" t="s">
        <v>15802</v>
      </c>
      <c r="M57" s="224" t="s">
        <v>15802</v>
      </c>
      <c r="N57" s="224" t="s">
        <v>15802</v>
      </c>
      <c r="O57" s="224" t="s">
        <v>15886</v>
      </c>
      <c r="P57" s="185" t="s">
        <v>489</v>
      </c>
      <c r="Q57" s="225" t="s">
        <v>15802</v>
      </c>
      <c r="R57" s="182" t="str">
        <f ca="1">IF(ISERROR($V57),"",OFFSET('Smelter Look-up'!$C$4,$V57-4,0)&amp;"")</f>
        <v>LT Metal Ltd.</v>
      </c>
      <c r="S57" s="181" t="str">
        <f t="shared" ca="1" si="6"/>
        <v>KR</v>
      </c>
      <c r="T57" s="181" t="str">
        <f ca="1">IF(B57="","",IF(ISERROR(MATCH($J57,SorP!$B$1:$B$6279,0)),"",INDIRECT("'SorP'!$A$"&amp;MATCH($S57&amp;$J57,SorP!C:C,0))))</f>
        <v>KR-28</v>
      </c>
      <c r="U57" s="201"/>
      <c r="V57" s="226">
        <f>IF(C57="",NA(),IF(OR(C57="Smelter not listed",C57="Smelter not yet identified"),MATCH($B57&amp;$D57,'Smelter Look-up'!$J:$J,0),MATCH($B57&amp;$C57,'Smelter Look-up'!$J:$J,0)))</f>
        <v>158</v>
      </c>
      <c r="X57" s="227">
        <f t="shared" si="7"/>
        <v>0</v>
      </c>
      <c r="AB57" s="228" t="str">
        <f t="shared" si="8"/>
        <v>GoldLT Metal Ltd.</v>
      </c>
    </row>
    <row r="58" spans="1:28" s="227" customFormat="1" ht="51">
      <c r="A58" s="181" t="s">
        <v>676</v>
      </c>
      <c r="B58" s="182" t="s">
        <v>1125</v>
      </c>
      <c r="C58" s="186" t="s">
        <v>1035</v>
      </c>
      <c r="D58" s="230"/>
      <c r="E58" s="182" t="s">
        <v>1097</v>
      </c>
      <c r="F58" s="182" t="s">
        <v>676</v>
      </c>
      <c r="G58" s="182" t="s">
        <v>13240</v>
      </c>
      <c r="H58" s="183">
        <v>0</v>
      </c>
      <c r="I58" s="184" t="s">
        <v>1542</v>
      </c>
      <c r="J58" s="184" t="s">
        <v>1543</v>
      </c>
      <c r="K58" s="224"/>
      <c r="L58" s="224"/>
      <c r="M58" s="224"/>
      <c r="N58" s="224"/>
      <c r="O58" s="224"/>
      <c r="P58" s="185"/>
      <c r="Q58" s="225" t="s">
        <v>15815</v>
      </c>
      <c r="R58" s="182" t="str">
        <f ca="1">IF(ISERROR($V58),"",OFFSET('Smelter Look-up'!$C$4,$V58-4,0)&amp;"")</f>
        <v>Heimerle + Meule GmbH</v>
      </c>
      <c r="S58" s="181" t="str">
        <f t="shared" ca="1" si="6"/>
        <v>DE</v>
      </c>
      <c r="T58" s="181" t="str">
        <f ca="1">IF(B58="","",IF(ISERROR(MATCH($J58,SorP!$B$1:$B$6279,0)),"",INDIRECT("'SorP'!$A$"&amp;MATCH($S58&amp;$J58,SorP!C:C,0))))</f>
        <v>DE-BW</v>
      </c>
      <c r="U58" s="201"/>
      <c r="V58" s="226">
        <f>IF(C58="",NA(),IF(OR(C58="Smelter not listed",C58="Smelter not yet identified"),MATCH($B58&amp;$D58,'Smelter Look-up'!$J:$J,0),MATCH($B58&amp;$C58,'Smelter Look-up'!$J:$J,0)))</f>
        <v>101</v>
      </c>
      <c r="X58" s="227">
        <f t="shared" si="7"/>
        <v>0</v>
      </c>
      <c r="AB58" s="228" t="str">
        <f t="shared" si="8"/>
        <v>GoldHeimerle + Meule GmbH</v>
      </c>
    </row>
    <row r="59" spans="1:28" s="227" customFormat="1" ht="76.5">
      <c r="A59" s="181" t="s">
        <v>677</v>
      </c>
      <c r="B59" s="182" t="s">
        <v>1125</v>
      </c>
      <c r="C59" s="186" t="s">
        <v>2500</v>
      </c>
      <c r="D59" s="230"/>
      <c r="E59" s="182" t="s">
        <v>1096</v>
      </c>
      <c r="F59" s="182" t="s">
        <v>677</v>
      </c>
      <c r="G59" s="182" t="s">
        <v>13240</v>
      </c>
      <c r="H59" s="183">
        <v>0</v>
      </c>
      <c r="I59" s="184" t="s">
        <v>1588</v>
      </c>
      <c r="J59" s="184" t="s">
        <v>15818</v>
      </c>
      <c r="K59" s="224"/>
      <c r="L59" s="224"/>
      <c r="M59" s="224"/>
      <c r="N59" s="224" t="s">
        <v>15897</v>
      </c>
      <c r="O59" s="224" t="s">
        <v>15898</v>
      </c>
      <c r="P59" s="185" t="s">
        <v>489</v>
      </c>
      <c r="Q59" s="225" t="s">
        <v>15899</v>
      </c>
      <c r="R59" s="182" t="str">
        <f ca="1">IF(ISERROR($V59),"",OFFSET('Smelter Look-up'!$C$4,$V59-4,0)&amp;"")</f>
        <v>Heraeus Metals Hong Kong Ltd.</v>
      </c>
      <c r="S59" s="181" t="str">
        <f t="shared" ca="1" si="6"/>
        <v>CN</v>
      </c>
      <c r="T59" s="181" t="str">
        <f ca="1">IF(B59="","",IF(ISERROR(MATCH($J59,SorP!$B$1:$B$6279,0)),"",INDIRECT("'SorP'!$A$"&amp;MATCH($S59&amp;$J59,SorP!C:C,0))))</f>
        <v/>
      </c>
      <c r="U59" s="201"/>
      <c r="V59" s="226">
        <f>IF(C59="",NA(),IF(OR(C59="Smelter not listed",C59="Smelter not yet identified"),MATCH($B59&amp;$D59,'Smelter Look-up'!$J:$J,0),MATCH($B59&amp;$C59,'Smelter Look-up'!$J:$J,0)))</f>
        <v>107</v>
      </c>
      <c r="X59" s="227">
        <f t="shared" si="7"/>
        <v>0</v>
      </c>
      <c r="AB59" s="228" t="str">
        <f t="shared" si="8"/>
        <v>GoldHeraeus Metals Hong Kong Ltd.</v>
      </c>
    </row>
    <row r="60" spans="1:28" s="227" customFormat="1" ht="76.5">
      <c r="A60" s="181" t="s">
        <v>678</v>
      </c>
      <c r="B60" s="182" t="s">
        <v>1125</v>
      </c>
      <c r="C60" s="186" t="s">
        <v>1222</v>
      </c>
      <c r="D60" s="230"/>
      <c r="E60" s="182" t="s">
        <v>1097</v>
      </c>
      <c r="F60" s="182" t="s">
        <v>678</v>
      </c>
      <c r="G60" s="182" t="s">
        <v>13240</v>
      </c>
      <c r="H60" s="183">
        <v>0</v>
      </c>
      <c r="I60" s="184" t="s">
        <v>1589</v>
      </c>
      <c r="J60" s="184" t="s">
        <v>4244</v>
      </c>
      <c r="K60" s="224"/>
      <c r="L60" s="224"/>
      <c r="M60" s="224"/>
      <c r="N60" s="224"/>
      <c r="O60" s="224"/>
      <c r="P60" s="185"/>
      <c r="Q60" s="225" t="s">
        <v>15815</v>
      </c>
      <c r="R60" s="182" t="str">
        <f ca="1">IF(ISERROR($V60),"",OFFSET('Smelter Look-up'!$C$4,$V60-4,0)&amp;"")</f>
        <v>Heraeus Germany GmbH Co. KG</v>
      </c>
      <c r="S60" s="181" t="str">
        <f t="shared" ca="1" si="6"/>
        <v>DE</v>
      </c>
      <c r="T60" s="181" t="str">
        <f ca="1">IF(B60="","",IF(ISERROR(MATCH($J60,SorP!$B$1:$B$6279,0)),"",INDIRECT("'SorP'!$A$"&amp;MATCH($S60&amp;$J60,SorP!C:C,0))))</f>
        <v>DE-HE</v>
      </c>
      <c r="U60" s="201"/>
      <c r="V60" s="226">
        <f>IF(C60="",NA(),IF(OR(C60="Smelter not listed",C60="Smelter not yet identified"),MATCH($B60&amp;$D60,'Smelter Look-up'!$J:$J,0),MATCH($B60&amp;$C60,'Smelter Look-up'!$J:$J,0)))</f>
        <v>108</v>
      </c>
      <c r="X60" s="227">
        <f t="shared" si="7"/>
        <v>0</v>
      </c>
      <c r="AB60" s="228" t="str">
        <f t="shared" si="8"/>
        <v>GoldHeraeus Precious Metals GmbH &amp; Co. KG</v>
      </c>
    </row>
    <row r="61" spans="1:28" s="227" customFormat="1" ht="76.5">
      <c r="A61" s="181" t="s">
        <v>15845</v>
      </c>
      <c r="B61" s="182" t="s">
        <v>1126</v>
      </c>
      <c r="C61" s="186" t="s">
        <v>15846</v>
      </c>
      <c r="D61" s="230"/>
      <c r="E61" s="182" t="s">
        <v>1096</v>
      </c>
      <c r="F61" s="182" t="s">
        <v>15845</v>
      </c>
      <c r="G61" s="182" t="s">
        <v>13240</v>
      </c>
      <c r="H61" s="183">
        <v>0</v>
      </c>
      <c r="I61" s="184" t="s">
        <v>1773</v>
      </c>
      <c r="J61" s="184" t="s">
        <v>13619</v>
      </c>
      <c r="K61" s="224"/>
      <c r="L61" s="224"/>
      <c r="M61" s="224"/>
      <c r="N61" s="224"/>
      <c r="O61" s="224"/>
      <c r="P61" s="185"/>
      <c r="Q61" s="225" t="s">
        <v>15815</v>
      </c>
      <c r="R61" s="182" t="str">
        <f ca="1">IF(ISERROR($V61),"",OFFSET('Smelter Look-up'!$C$4,$V61-4,0)&amp;"")</f>
        <v/>
      </c>
      <c r="S61" s="181" t="str">
        <f t="shared" ca="1" si="6"/>
        <v>CN</v>
      </c>
      <c r="T61" s="181" t="str">
        <f ca="1">IF(B61="","",IF(ISERROR(MATCH($J61,SorP!$B$1:$B$6279,0)),"",INDIRECT("'SorP'!$A$"&amp;MATCH($S61&amp;$J61,SorP!C:C,0))))</f>
        <v>CN-JX</v>
      </c>
      <c r="U61" s="201"/>
      <c r="V61" s="226" t="e">
        <f>IF(C61="",NA(),IF(OR(C61="Smelter not listed",C61="Smelter not yet identified"),MATCH($B61&amp;$D61,'Smelter Look-up'!$J:$J,0),MATCH($B61&amp;$C61,'Smelter Look-up'!$J:$J,0)))</f>
        <v>#N/A</v>
      </c>
      <c r="X61" s="227">
        <f t="shared" si="7"/>
        <v>0</v>
      </c>
      <c r="AB61" s="228" t="str">
        <f t="shared" si="8"/>
        <v>TinHuichang Jinshunda Tin Co., Ltd.</v>
      </c>
    </row>
    <row r="62" spans="1:28" s="227" customFormat="1" ht="76.5">
      <c r="A62" s="181" t="s">
        <v>793</v>
      </c>
      <c r="B62" s="182" t="s">
        <v>1128</v>
      </c>
      <c r="C62" s="186" t="s">
        <v>2213</v>
      </c>
      <c r="D62" s="230"/>
      <c r="E62" s="182" t="s">
        <v>1096</v>
      </c>
      <c r="F62" s="182" t="s">
        <v>793</v>
      </c>
      <c r="G62" s="182" t="s">
        <v>13240</v>
      </c>
      <c r="H62" s="183" t="s">
        <v>15802</v>
      </c>
      <c r="I62" s="184" t="s">
        <v>2134</v>
      </c>
      <c r="J62" s="184" t="s">
        <v>13623</v>
      </c>
      <c r="K62" s="224" t="s">
        <v>15802</v>
      </c>
      <c r="L62" s="224" t="s">
        <v>15802</v>
      </c>
      <c r="M62" s="224" t="s">
        <v>15890</v>
      </c>
      <c r="N62" s="224" t="s">
        <v>15802</v>
      </c>
      <c r="O62" s="224" t="s">
        <v>15886</v>
      </c>
      <c r="P62" s="185" t="s">
        <v>489</v>
      </c>
      <c r="Q62" s="225" t="s">
        <v>15802</v>
      </c>
      <c r="R62" s="182" t="str">
        <f ca="1">IF(ISERROR($V62),"",OFFSET('Smelter Look-up'!$C$4,$V62-4,0)&amp;"")</f>
        <v>Hunan Chenzhou Mining Co., Ltd.</v>
      </c>
      <c r="S62" s="181" t="str">
        <f t="shared" ca="1" si="6"/>
        <v>CN</v>
      </c>
      <c r="T62" s="181" t="str">
        <f ca="1">IF(B62="","",IF(ISERROR(MATCH($J62,SorP!$B$1:$B$6279,0)),"",INDIRECT("'SorP'!$A$"&amp;MATCH($S62&amp;$J62,SorP!C:C,0))))</f>
        <v>CN-HN</v>
      </c>
      <c r="U62" s="201"/>
      <c r="V62" s="226">
        <f>IF(C62="",NA(),IF(OR(C62="Smelter not listed",C62="Smelter not yet identified"),MATCH($B62&amp;$D62,'Smelter Look-up'!$J:$J,0),MATCH($B62&amp;$C62,'Smelter Look-up'!$J:$J,0)))</f>
        <v>594</v>
      </c>
      <c r="X62" s="227">
        <f t="shared" si="7"/>
        <v>0</v>
      </c>
      <c r="AB62" s="228" t="str">
        <f t="shared" si="8"/>
        <v>TungstenHunan Chenzhou Mining Co., Ltd.</v>
      </c>
    </row>
    <row r="63" spans="1:28" s="227" customFormat="1" ht="114.75">
      <c r="A63" s="181" t="s">
        <v>794</v>
      </c>
      <c r="B63" s="182" t="s">
        <v>1128</v>
      </c>
      <c r="C63" s="186" t="s">
        <v>1376</v>
      </c>
      <c r="D63" s="230"/>
      <c r="E63" s="182" t="s">
        <v>1096</v>
      </c>
      <c r="F63" s="182" t="s">
        <v>794</v>
      </c>
      <c r="G63" s="182" t="s">
        <v>13240</v>
      </c>
      <c r="H63" s="183">
        <v>0</v>
      </c>
      <c r="I63" s="184" t="s">
        <v>1740</v>
      </c>
      <c r="J63" s="184" t="s">
        <v>13623</v>
      </c>
      <c r="K63" s="224"/>
      <c r="L63" s="224"/>
      <c r="M63" s="224"/>
      <c r="N63" s="224"/>
      <c r="O63" s="224" t="s">
        <v>15900</v>
      </c>
      <c r="P63" s="185" t="s">
        <v>489</v>
      </c>
      <c r="Q63" s="225" t="s">
        <v>15901</v>
      </c>
      <c r="R63" s="182" t="str">
        <f ca="1">IF(ISERROR($V63),"",OFFSET('Smelter Look-up'!$C$4,$V63-4,0)&amp;"")</f>
        <v>Hunan Jintai New Material Co., Ltd.</v>
      </c>
      <c r="S63" s="181" t="str">
        <f t="shared" ca="1" si="6"/>
        <v>CN</v>
      </c>
      <c r="T63" s="181" t="str">
        <f ca="1">IF(B63="","",IF(ISERROR(MATCH($J63,SorP!$B$1:$B$6279,0)),"",INDIRECT("'SorP'!$A$"&amp;MATCH($S63&amp;$J63,SorP!C:C,0))))</f>
        <v>CN-HN</v>
      </c>
      <c r="U63" s="201"/>
      <c r="V63" s="226">
        <f>IF(C63="",NA(),IF(OR(C63="Smelter not listed",C63="Smelter not yet identified"),MATCH($B63&amp;$D63,'Smelter Look-up'!$J:$J,0),MATCH($B63&amp;$C63,'Smelter Look-up'!$J:$J,0)))</f>
        <v>596</v>
      </c>
      <c r="X63" s="227">
        <f t="shared" si="7"/>
        <v>0</v>
      </c>
      <c r="AB63" s="228" t="str">
        <f t="shared" si="8"/>
        <v>TungstenHunan Chunchang Nonferrous Metals Co., Ltd.</v>
      </c>
    </row>
    <row r="64" spans="1:28" s="227" customFormat="1" ht="114.75">
      <c r="A64" s="181" t="s">
        <v>13176</v>
      </c>
      <c r="B64" s="182" t="s">
        <v>1125</v>
      </c>
      <c r="C64" s="186" t="s">
        <v>13175</v>
      </c>
      <c r="D64" s="230"/>
      <c r="E64" s="182" t="s">
        <v>1096</v>
      </c>
      <c r="F64" s="182" t="s">
        <v>13176</v>
      </c>
      <c r="G64" s="182" t="s">
        <v>13240</v>
      </c>
      <c r="H64" s="183"/>
      <c r="I64" s="184" t="s">
        <v>1774</v>
      </c>
      <c r="J64" s="184" t="s">
        <v>13623</v>
      </c>
      <c r="K64" s="224"/>
      <c r="L64" s="224"/>
      <c r="M64" s="224"/>
      <c r="N64" s="224"/>
      <c r="O64" s="224"/>
      <c r="P64" s="185"/>
      <c r="Q64" s="225"/>
      <c r="R64" s="182" t="str">
        <f ca="1">IF(ISERROR($V64),"",OFFSET('Smelter Look-up'!$C$4,$V64-4,0)&amp;"")</f>
        <v>Hunan Guiyang yinxing Nonferrous Smelting Co., Ltd.</v>
      </c>
      <c r="S64" s="181" t="str">
        <f t="shared" ca="1" si="6"/>
        <v>CN</v>
      </c>
      <c r="T64" s="181" t="str">
        <f ca="1">IF(B64="","",IF(ISERROR(MATCH($J64,SorP!$B$1:$B$6279,0)),"",INDIRECT("'SorP'!$A$"&amp;MATCH($S64&amp;$J64,SorP!C:C,0))))</f>
        <v>CN-HN</v>
      </c>
      <c r="U64" s="201"/>
      <c r="V64" s="226">
        <f>IF(C64="",NA(),IF(OR(C64="Smelter not listed",C64="Smelter not yet identified"),MATCH($B64&amp;$D64,'Smelter Look-up'!$J:$J,0),MATCH($B64&amp;$C64,'Smelter Look-up'!$J:$J,0)))</f>
        <v>112</v>
      </c>
      <c r="X64" s="227">
        <f t="shared" si="7"/>
        <v>0</v>
      </c>
      <c r="AB64" s="228" t="str">
        <f t="shared" si="8"/>
        <v>GoldHunan Guiyang yinxing Nonferrous Smelting Co., Ltd.</v>
      </c>
    </row>
    <row r="65" spans="1:28" s="227" customFormat="1" ht="51">
      <c r="A65" s="181" t="s">
        <v>680</v>
      </c>
      <c r="B65" s="182" t="s">
        <v>1125</v>
      </c>
      <c r="C65" s="186" t="s">
        <v>2501</v>
      </c>
      <c r="D65" s="230"/>
      <c r="E65" s="182" t="s">
        <v>1107</v>
      </c>
      <c r="F65" s="182" t="s">
        <v>680</v>
      </c>
      <c r="G65" s="182" t="s">
        <v>13240</v>
      </c>
      <c r="H65" s="183"/>
      <c r="I65" s="184" t="s">
        <v>1592</v>
      </c>
      <c r="J65" s="184" t="s">
        <v>12871</v>
      </c>
      <c r="K65" s="224"/>
      <c r="L65" s="224"/>
      <c r="M65" s="224"/>
      <c r="N65" s="224"/>
      <c r="O65" s="224"/>
      <c r="P65" s="185"/>
      <c r="Q65" s="225"/>
      <c r="R65" s="182" t="str">
        <f ca="1">IF(ISERROR($V65),"",OFFSET('Smelter Look-up'!$C$4,$V65-4,0)&amp;"")</f>
        <v>HwaSeong CJ CO., LTD.</v>
      </c>
      <c r="S65" s="181" t="str">
        <f t="shared" ca="1" si="6"/>
        <v>KR</v>
      </c>
      <c r="T65" s="181" t="str">
        <f ca="1">IF(B65="","",IF(ISERROR(MATCH($J65,SorP!$B$1:$B$6279,0)),"",INDIRECT("'SorP'!$A$"&amp;MATCH($S65&amp;$J65,SorP!C:C,0))))</f>
        <v>KR-41</v>
      </c>
      <c r="U65" s="201"/>
      <c r="V65" s="226">
        <f>IF(C65="",NA(),IF(OR(C65="Smelter not listed",C65="Smelter not yet identified"),MATCH($B65&amp;$D65,'Smelter Look-up'!$J:$J,0),MATCH($B65&amp;$C65,'Smelter Look-up'!$J:$J,0)))</f>
        <v>114</v>
      </c>
      <c r="X65" s="227">
        <f t="shared" si="7"/>
        <v>0</v>
      </c>
      <c r="AB65" s="228" t="str">
        <f t="shared" si="8"/>
        <v>GoldHwaSeong CJ CO., LTD.</v>
      </c>
    </row>
    <row r="66" spans="1:28" s="227" customFormat="1" ht="153">
      <c r="A66" s="181" t="s">
        <v>681</v>
      </c>
      <c r="B66" s="182" t="s">
        <v>1125</v>
      </c>
      <c r="C66" s="186" t="s">
        <v>2298</v>
      </c>
      <c r="D66" s="230"/>
      <c r="E66" s="182" t="s">
        <v>1096</v>
      </c>
      <c r="F66" s="182" t="s">
        <v>681</v>
      </c>
      <c r="G66" s="182" t="s">
        <v>13240</v>
      </c>
      <c r="H66" s="183" t="s">
        <v>15802</v>
      </c>
      <c r="I66" s="184" t="s">
        <v>1593</v>
      </c>
      <c r="J66" s="184" t="s">
        <v>13602</v>
      </c>
      <c r="K66" s="224" t="s">
        <v>15802</v>
      </c>
      <c r="L66" s="224" t="s">
        <v>15802</v>
      </c>
      <c r="M66" s="224" t="s">
        <v>15890</v>
      </c>
      <c r="N66" s="224" t="s">
        <v>15802</v>
      </c>
      <c r="O66" s="224" t="s">
        <v>490</v>
      </c>
      <c r="P66" s="185" t="s">
        <v>15802</v>
      </c>
      <c r="Q66" s="225" t="s">
        <v>15802</v>
      </c>
      <c r="R66" s="182" t="str">
        <f ca="1">IF(ISERROR($V66),"",OFFSET('Smelter Look-up'!$C$4,$V66-4,0)&amp;"")</f>
        <v>Inner Mongolia Qiankun Gold and Silver Refinery Share Co., Ltd.</v>
      </c>
      <c r="S66" s="181" t="str">
        <f t="shared" ca="1" si="6"/>
        <v>CN</v>
      </c>
      <c r="T66" s="181" t="str">
        <f ca="1">IF(B66="","",IF(ISERROR(MATCH($J66,SorP!$B$1:$B$6279,0)),"",INDIRECT("'SorP'!$A$"&amp;MATCH($S66&amp;$J66,SorP!C:C,0))))</f>
        <v>CN-NM</v>
      </c>
      <c r="U66" s="201"/>
      <c r="V66" s="226">
        <f>IF(C66="",NA(),IF(OR(C66="Smelter not listed",C66="Smelter not yet identified"),MATCH($B66&amp;$D66,'Smelter Look-up'!$J:$J,0),MATCH($B66&amp;$C66,'Smelter Look-up'!$J:$J,0)))</f>
        <v>116</v>
      </c>
      <c r="X66" s="227">
        <f t="shared" si="7"/>
        <v>0</v>
      </c>
      <c r="AB66" s="228" t="str">
        <f t="shared" si="8"/>
        <v>GoldInner Mongolia Qiankun Gold and Silver Refinery Share Co., Ltd.</v>
      </c>
    </row>
    <row r="67" spans="1:28" s="227" customFormat="1" ht="76.5">
      <c r="A67" s="181" t="s">
        <v>682</v>
      </c>
      <c r="B67" s="182" t="s">
        <v>1125</v>
      </c>
      <c r="C67" s="186" t="s">
        <v>1223</v>
      </c>
      <c r="D67" s="230"/>
      <c r="E67" s="182" t="s">
        <v>1104</v>
      </c>
      <c r="F67" s="182" t="s">
        <v>682</v>
      </c>
      <c r="G67" s="182" t="s">
        <v>13240</v>
      </c>
      <c r="H67" s="183">
        <v>0</v>
      </c>
      <c r="I67" s="184" t="s">
        <v>1594</v>
      </c>
      <c r="J67" s="184" t="s">
        <v>1580</v>
      </c>
      <c r="K67" s="224"/>
      <c r="L67" s="224"/>
      <c r="M67" s="224"/>
      <c r="N67" s="224" t="s">
        <v>15897</v>
      </c>
      <c r="O67" s="224" t="s">
        <v>15898</v>
      </c>
      <c r="P67" s="185" t="s">
        <v>489</v>
      </c>
      <c r="Q67" s="225" t="s">
        <v>15899</v>
      </c>
      <c r="R67" s="182" t="str">
        <f ca="1">IF(ISERROR($V67),"",OFFSET('Smelter Look-up'!$C$4,$V67-4,0)&amp;"")</f>
        <v>Ishifuku Metal Industry Co., Ltd.</v>
      </c>
      <c r="S67" s="181" t="str">
        <f t="shared" ca="1" si="6"/>
        <v>JP</v>
      </c>
      <c r="T67" s="181" t="str">
        <f ca="1">IF(B67="","",IF(ISERROR(MATCH($J67,SorP!$B$1:$B$6279,0)),"",INDIRECT("'SorP'!$A$"&amp;MATCH($S67&amp;$J67,SorP!C:C,0))))</f>
        <v>JP-11</v>
      </c>
      <c r="U67" s="201"/>
      <c r="V67" s="226">
        <f>IF(C67="",NA(),IF(OR(C67="Smelter not listed",C67="Smelter not yet identified"),MATCH($B67&amp;$D67,'Smelter Look-up'!$J:$J,0),MATCH($B67&amp;$C67,'Smelter Look-up'!$J:$J,0)))</f>
        <v>118</v>
      </c>
      <c r="X67" s="227">
        <f t="shared" si="7"/>
        <v>0</v>
      </c>
      <c r="AB67" s="228" t="str">
        <f t="shared" si="8"/>
        <v>GoldIshifuku Metal Industry Co., Ltd.</v>
      </c>
    </row>
    <row r="68" spans="1:28" s="227" customFormat="1" ht="51">
      <c r="A68" s="181" t="s">
        <v>683</v>
      </c>
      <c r="B68" s="182" t="s">
        <v>1125</v>
      </c>
      <c r="C68" s="186" t="s">
        <v>1230</v>
      </c>
      <c r="D68" s="230"/>
      <c r="E68" s="182" t="s">
        <v>885</v>
      </c>
      <c r="F68" s="182" t="s">
        <v>683</v>
      </c>
      <c r="G68" s="182" t="s">
        <v>13240</v>
      </c>
      <c r="H68" s="183">
        <v>0</v>
      </c>
      <c r="I68" s="184" t="s">
        <v>1595</v>
      </c>
      <c r="J68" s="184" t="s">
        <v>11268</v>
      </c>
      <c r="K68" s="224"/>
      <c r="L68" s="224"/>
      <c r="M68" s="224"/>
      <c r="N68" s="224"/>
      <c r="O68" s="224"/>
      <c r="P68" s="185"/>
      <c r="Q68" s="225" t="s">
        <v>15815</v>
      </c>
      <c r="R68" s="182" t="str">
        <f ca="1">IF(ISERROR($V68),"",OFFSET('Smelter Look-up'!$C$4,$V68-4,0)&amp;"")</f>
        <v>Istanbul Gold Refinery</v>
      </c>
      <c r="S68" s="181" t="str">
        <f t="shared" ca="1" si="6"/>
        <v>TR</v>
      </c>
      <c r="T68" s="181" t="str">
        <f ca="1">IF(B68="","",IF(ISERROR(MATCH($J68,SorP!$B$1:$B$6279,0)),"",INDIRECT("'SorP'!$A$"&amp;MATCH($S68&amp;$J68,SorP!C:C,0))))</f>
        <v>TR-34</v>
      </c>
      <c r="U68" s="201"/>
      <c r="V68" s="226">
        <f>IF(C68="",NA(),IF(OR(C68="Smelter not listed",C68="Smelter not yet identified"),MATCH($B68&amp;$D68,'Smelter Look-up'!$J:$J,0),MATCH($B68&amp;$C68,'Smelter Look-up'!$J:$J,0)))</f>
        <v>119</v>
      </c>
      <c r="X68" s="227">
        <f t="shared" si="7"/>
        <v>0</v>
      </c>
      <c r="AB68" s="228" t="str">
        <f t="shared" si="8"/>
        <v>GoldIstanbul Gold Refinery</v>
      </c>
    </row>
    <row r="69" spans="1:28" s="227" customFormat="1" ht="25.5">
      <c r="A69" s="181" t="s">
        <v>684</v>
      </c>
      <c r="B69" s="182" t="s">
        <v>1125</v>
      </c>
      <c r="C69" s="186" t="s">
        <v>904</v>
      </c>
      <c r="D69" s="230"/>
      <c r="E69" s="182" t="s">
        <v>1104</v>
      </c>
      <c r="F69" s="182" t="s">
        <v>684</v>
      </c>
      <c r="G69" s="182" t="s">
        <v>13240</v>
      </c>
      <c r="H69" s="183" t="s">
        <v>15802</v>
      </c>
      <c r="I69" s="184" t="s">
        <v>1596</v>
      </c>
      <c r="J69" s="184" t="s">
        <v>1596</v>
      </c>
      <c r="K69" s="224" t="s">
        <v>15802</v>
      </c>
      <c r="L69" s="224" t="s">
        <v>15802</v>
      </c>
      <c r="M69" s="224" t="s">
        <v>15885</v>
      </c>
      <c r="N69" s="224" t="s">
        <v>15802</v>
      </c>
      <c r="O69" s="224" t="s">
        <v>490</v>
      </c>
      <c r="P69" s="185" t="s">
        <v>15802</v>
      </c>
      <c r="Q69" s="225" t="s">
        <v>15802</v>
      </c>
      <c r="R69" s="182" t="str">
        <f ca="1">IF(ISERROR($V69),"",OFFSET('Smelter Look-up'!$C$4,$V69-4,0)&amp;"")</f>
        <v>Japan Mint</v>
      </c>
      <c r="S69" s="181" t="str">
        <f t="shared" ref="S69" ca="1" si="9">IF(B69="","",IF(ISERROR(MATCH($E69,CL,0)),"Unknown",INDIRECT("'C'!$A$"&amp;MATCH($E69,CL,0)+1)))</f>
        <v>JP</v>
      </c>
      <c r="T69" s="181" t="str">
        <f ca="1">IF(B69="","",IF(ISERROR(MATCH($J69,SorP!$B$1:$B$6279,0)),"",INDIRECT("'SorP'!$A$"&amp;MATCH($S69&amp;$J69,SorP!C:C,0))))</f>
        <v>JP-27</v>
      </c>
      <c r="U69" s="201"/>
      <c r="V69" s="226">
        <f>IF(C69="",NA(),IF(OR(C69="Smelter not listed",C69="Smelter not yet identified"),MATCH($B69&amp;$D69,'Smelter Look-up'!$J:$J,0),MATCH($B69&amp;$C69,'Smelter Look-up'!$J:$J,0)))</f>
        <v>122</v>
      </c>
      <c r="X69" s="227">
        <f t="shared" ref="X69" si="10">IF(AND(C69="Smelter not listed",OR(LEN(D69)=0,LEN(E69)=0)),1,0)</f>
        <v>0</v>
      </c>
      <c r="AB69" s="228" t="str">
        <f t="shared" ref="AB69" si="11">B69&amp;C69</f>
        <v>GoldJapan Mint</v>
      </c>
    </row>
    <row r="70" spans="1:28" s="227" customFormat="1" ht="76.5">
      <c r="A70" s="181" t="s">
        <v>795</v>
      </c>
      <c r="B70" s="182" t="s">
        <v>1128</v>
      </c>
      <c r="C70" s="186" t="s">
        <v>1377</v>
      </c>
      <c r="D70" s="230"/>
      <c r="E70" s="182" t="s">
        <v>1104</v>
      </c>
      <c r="F70" s="182" t="s">
        <v>795</v>
      </c>
      <c r="G70" s="182" t="s">
        <v>13240</v>
      </c>
      <c r="H70" s="183" t="s">
        <v>15802</v>
      </c>
      <c r="I70" s="184" t="s">
        <v>2135</v>
      </c>
      <c r="J70" s="184" t="s">
        <v>1575</v>
      </c>
      <c r="K70" s="224" t="s">
        <v>15802</v>
      </c>
      <c r="L70" s="224" t="s">
        <v>15802</v>
      </c>
      <c r="M70" s="224" t="s">
        <v>15885</v>
      </c>
      <c r="N70" s="224" t="s">
        <v>15802</v>
      </c>
      <c r="O70" s="224" t="s">
        <v>15887</v>
      </c>
      <c r="P70" s="185" t="s">
        <v>489</v>
      </c>
      <c r="Q70" s="225" t="s">
        <v>15888</v>
      </c>
      <c r="R70" s="182" t="str">
        <f ca="1">IF(ISERROR($V70),"",OFFSET('Smelter Look-up'!$C$4,$V70-4,0)&amp;"")</f>
        <v>Japan New Metals Co., Ltd.</v>
      </c>
      <c r="S70" s="181" t="str">
        <f t="shared" ref="S70:S101" ca="1" si="12">IF(B70="","",IF(ISERROR(MATCH($E70,CL,0)),"Unknown",INDIRECT("'C'!$A$"&amp;MATCH($E70,CL,0)+1)))</f>
        <v>JP</v>
      </c>
      <c r="T70" s="181" t="str">
        <f ca="1">IF(B70="","",IF(ISERROR(MATCH($J70,SorP!$B$1:$B$6279,0)),"",INDIRECT("'SorP'!$A$"&amp;MATCH($S70&amp;$J70,SorP!C:C,0))))</f>
        <v>JP-05</v>
      </c>
      <c r="U70" s="201"/>
      <c r="V70" s="226">
        <f>IF(C70="",NA(),IF(OR(C70="Smelter not listed",C70="Smelter not yet identified"),MATCH($B70&amp;$D70,'Smelter Look-up'!$J:$J,0),MATCH($B70&amp;$C70,'Smelter Look-up'!$J:$J,0)))</f>
        <v>600</v>
      </c>
      <c r="X70" s="227">
        <f t="shared" ref="X70:X101" si="13">IF(AND(C70="Smelter not listed",OR(LEN(D70)=0,LEN(E70)=0)),1,0)</f>
        <v>0</v>
      </c>
      <c r="AB70" s="228" t="str">
        <f t="shared" ref="AB70:AB101" si="14">B70&amp;C70</f>
        <v>TungstenJapan New Metals Co., Ltd.</v>
      </c>
    </row>
    <row r="71" spans="1:28" s="227" customFormat="1" ht="63.75">
      <c r="A71" s="181" t="s">
        <v>685</v>
      </c>
      <c r="B71" s="182" t="s">
        <v>1125</v>
      </c>
      <c r="C71" s="186" t="s">
        <v>2299</v>
      </c>
      <c r="D71" s="230"/>
      <c r="E71" s="182" t="s">
        <v>1096</v>
      </c>
      <c r="F71" s="182" t="s">
        <v>685</v>
      </c>
      <c r="G71" s="182" t="s">
        <v>13240</v>
      </c>
      <c r="H71" s="183">
        <v>0</v>
      </c>
      <c r="I71" s="184" t="s">
        <v>1597</v>
      </c>
      <c r="J71" s="184" t="s">
        <v>13619</v>
      </c>
      <c r="K71" s="224"/>
      <c r="L71" s="224"/>
      <c r="M71" s="224"/>
      <c r="N71" s="224"/>
      <c r="O71" s="224"/>
      <c r="P71" s="185"/>
      <c r="Q71" s="225" t="s">
        <v>15815</v>
      </c>
      <c r="R71" s="182" t="str">
        <f ca="1">IF(ISERROR($V71),"",OFFSET('Smelter Look-up'!$C$4,$V71-4,0)&amp;"")</f>
        <v>Jiangxi Copper Co., Ltd.</v>
      </c>
      <c r="S71" s="181" t="str">
        <f t="shared" ca="1" si="12"/>
        <v>CN</v>
      </c>
      <c r="T71" s="181" t="str">
        <f ca="1">IF(B71="","",IF(ISERROR(MATCH($J71,SorP!$B$1:$B$6279,0)),"",INDIRECT("'SorP'!$A$"&amp;MATCH($S71&amp;$J71,SorP!C:C,0))))</f>
        <v>CN-JX</v>
      </c>
      <c r="U71" s="201"/>
      <c r="V71" s="226">
        <f>IF(C71="",NA(),IF(OR(C71="Smelter not listed",C71="Smelter not yet identified"),MATCH($B71&amp;$D71,'Smelter Look-up'!$J:$J,0),MATCH($B71&amp;$C71,'Smelter Look-up'!$J:$J,0)))</f>
        <v>124</v>
      </c>
      <c r="X71" s="227">
        <f t="shared" si="13"/>
        <v>0</v>
      </c>
      <c r="AB71" s="228" t="str">
        <f t="shared" si="14"/>
        <v>GoldJiangxi Copper Co., Ltd.</v>
      </c>
    </row>
    <row r="72" spans="1:28" s="227" customFormat="1" ht="114.75">
      <c r="A72" s="181" t="s">
        <v>796</v>
      </c>
      <c r="B72" s="182" t="s">
        <v>1128</v>
      </c>
      <c r="C72" s="186" t="s">
        <v>149</v>
      </c>
      <c r="D72" s="230"/>
      <c r="E72" s="182" t="s">
        <v>1096</v>
      </c>
      <c r="F72" s="182" t="s">
        <v>796</v>
      </c>
      <c r="G72" s="182" t="s">
        <v>13240</v>
      </c>
      <c r="H72" s="183">
        <v>0</v>
      </c>
      <c r="I72" s="184" t="s">
        <v>1773</v>
      </c>
      <c r="J72" s="184" t="s">
        <v>13619</v>
      </c>
      <c r="K72" s="224"/>
      <c r="L72" s="224"/>
      <c r="M72" s="224"/>
      <c r="N72" s="224"/>
      <c r="O72" s="224" t="s">
        <v>15900</v>
      </c>
      <c r="P72" s="185" t="s">
        <v>489</v>
      </c>
      <c r="Q72" s="225" t="s">
        <v>15901</v>
      </c>
      <c r="R72" s="182" t="str">
        <f ca="1">IF(ISERROR($V72),"",OFFSET('Smelter Look-up'!$C$4,$V72-4,0)&amp;"")</f>
        <v>Ganzhou Huaxing Tungsten Products Co., Ltd.</v>
      </c>
      <c r="S72" s="181" t="str">
        <f t="shared" ca="1" si="12"/>
        <v>CN</v>
      </c>
      <c r="T72" s="181" t="str">
        <f ca="1">IF(B72="","",IF(ISERROR(MATCH($J72,SorP!$B$1:$B$6279,0)),"",INDIRECT("'SorP'!$A$"&amp;MATCH($S72&amp;$J72,SorP!C:C,0))))</f>
        <v>CN-JX</v>
      </c>
      <c r="U72" s="201"/>
      <c r="V72" s="226">
        <f>IF(C72="",NA(),IF(OR(C72="Smelter not listed",C72="Smelter not yet identified"),MATCH($B72&amp;$D72,'Smelter Look-up'!$J:$J,0),MATCH($B72&amp;$C72,'Smelter Look-up'!$J:$J,0)))</f>
        <v>581</v>
      </c>
      <c r="X72" s="227">
        <f t="shared" si="13"/>
        <v>0</v>
      </c>
      <c r="AB72" s="228" t="str">
        <f t="shared" si="14"/>
        <v>TungstenGanzhou Huaxing Tungsten Products Co., Ltd.</v>
      </c>
    </row>
    <row r="73" spans="1:28" s="227" customFormat="1" ht="102">
      <c r="A73" s="181" t="s">
        <v>749</v>
      </c>
      <c r="B73" s="182" t="s">
        <v>1127</v>
      </c>
      <c r="C73" s="186" t="s">
        <v>4</v>
      </c>
      <c r="D73" s="230"/>
      <c r="E73" s="182" t="s">
        <v>1096</v>
      </c>
      <c r="F73" s="182" t="s">
        <v>749</v>
      </c>
      <c r="G73" s="182" t="s">
        <v>13240</v>
      </c>
      <c r="H73" s="183" t="s">
        <v>15802</v>
      </c>
      <c r="I73" s="184" t="s">
        <v>1720</v>
      </c>
      <c r="J73" s="184" t="s">
        <v>13619</v>
      </c>
      <c r="K73" s="224" t="s">
        <v>15802</v>
      </c>
      <c r="L73" s="224" t="s">
        <v>15802</v>
      </c>
      <c r="M73" s="224" t="s">
        <v>15885</v>
      </c>
      <c r="N73" s="224" t="s">
        <v>15802</v>
      </c>
      <c r="O73" s="224" t="s">
        <v>15887</v>
      </c>
      <c r="P73" s="185" t="s">
        <v>489</v>
      </c>
      <c r="Q73" s="225" t="s">
        <v>15888</v>
      </c>
      <c r="R73" s="182" t="str">
        <f ca="1">IF(ISERROR($V73),"",OFFSET('Smelter Look-up'!$C$4,$V73-4,0)&amp;"")</f>
        <v>JiuJiang JinXin Nonferrous Metals Co., Ltd.</v>
      </c>
      <c r="S73" s="181" t="str">
        <f t="shared" ca="1" si="12"/>
        <v>CN</v>
      </c>
      <c r="T73" s="181" t="str">
        <f ca="1">IF(B73="","",IF(ISERROR(MATCH($J73,SorP!$B$1:$B$6279,0)),"",INDIRECT("'SorP'!$A$"&amp;MATCH($S73&amp;$J73,SorP!C:C,0))))</f>
        <v>CN-JX</v>
      </c>
      <c r="U73" s="201"/>
      <c r="V73" s="226">
        <f>IF(C73="",NA(),IF(OR(C73="Smelter not listed",C73="Smelter not yet identified"),MATCH($B73&amp;$D73,'Smelter Look-up'!$J:$J,0),MATCH($B73&amp;$C73,'Smelter Look-up'!$J:$J,0)))</f>
        <v>341</v>
      </c>
      <c r="X73" s="227">
        <f t="shared" si="13"/>
        <v>0</v>
      </c>
      <c r="AB73" s="228" t="str">
        <f t="shared" si="14"/>
        <v>TantalumJiuJiang JinXin Nonferrous Metals Co., Ltd.</v>
      </c>
    </row>
    <row r="74" spans="1:28" s="227" customFormat="1" ht="76.5">
      <c r="A74" s="181" t="s">
        <v>750</v>
      </c>
      <c r="B74" s="182" t="s">
        <v>1127</v>
      </c>
      <c r="C74" s="186" t="s">
        <v>46</v>
      </c>
      <c r="D74" s="230"/>
      <c r="E74" s="182" t="s">
        <v>1096</v>
      </c>
      <c r="F74" s="182" t="s">
        <v>750</v>
      </c>
      <c r="G74" s="182" t="s">
        <v>13240</v>
      </c>
      <c r="H74" s="183">
        <v>0</v>
      </c>
      <c r="I74" s="184" t="s">
        <v>1720</v>
      </c>
      <c r="J74" s="184" t="s">
        <v>13619</v>
      </c>
      <c r="K74" s="224"/>
      <c r="L74" s="224"/>
      <c r="M74" s="224"/>
      <c r="N74" s="224"/>
      <c r="O74" s="224" t="s">
        <v>15912</v>
      </c>
      <c r="P74" s="185" t="s">
        <v>489</v>
      </c>
      <c r="Q74" s="225" t="s">
        <v>15930</v>
      </c>
      <c r="R74" s="182" t="str">
        <f ca="1">IF(ISERROR($V74),"",OFFSET('Smelter Look-up'!$C$4,$V74-4,0)&amp;"")</f>
        <v>Jiujiang Tanbre Co., Ltd.</v>
      </c>
      <c r="S74" s="181" t="str">
        <f t="shared" ca="1" si="12"/>
        <v>CN</v>
      </c>
      <c r="T74" s="181" t="str">
        <f ca="1">IF(B74="","",IF(ISERROR(MATCH($J74,SorP!$B$1:$B$6279,0)),"",INDIRECT("'SorP'!$A$"&amp;MATCH($S74&amp;$J74,SorP!C:C,0))))</f>
        <v>CN-JX</v>
      </c>
      <c r="U74" s="201"/>
      <c r="V74" s="226">
        <f>IF(C74="",NA(),IF(OR(C74="Smelter not listed",C74="Smelter not yet identified"),MATCH($B74&amp;$D74,'Smelter Look-up'!$J:$J,0),MATCH($B74&amp;$C74,'Smelter Look-up'!$J:$J,0)))</f>
        <v>343</v>
      </c>
      <c r="X74" s="227">
        <f t="shared" si="13"/>
        <v>0</v>
      </c>
      <c r="AB74" s="228" t="str">
        <f t="shared" si="14"/>
        <v>TantalumJiujiang Tanbre Co., Ltd.</v>
      </c>
    </row>
    <row r="75" spans="1:28" s="227" customFormat="1" ht="63.75">
      <c r="A75" s="181" t="s">
        <v>686</v>
      </c>
      <c r="B75" s="182" t="s">
        <v>1125</v>
      </c>
      <c r="C75" s="186" t="s">
        <v>2200</v>
      </c>
      <c r="D75" s="230"/>
      <c r="E75" s="182" t="s">
        <v>2432</v>
      </c>
      <c r="F75" s="182" t="s">
        <v>686</v>
      </c>
      <c r="G75" s="182" t="s">
        <v>13240</v>
      </c>
      <c r="H75" s="183">
        <v>0</v>
      </c>
      <c r="I75" s="184" t="s">
        <v>1599</v>
      </c>
      <c r="J75" s="184" t="s">
        <v>1600</v>
      </c>
      <c r="K75" s="224"/>
      <c r="L75" s="224"/>
      <c r="M75" s="224"/>
      <c r="N75" s="224" t="s">
        <v>15897</v>
      </c>
      <c r="O75" s="224" t="s">
        <v>15898</v>
      </c>
      <c r="P75" s="185" t="s">
        <v>489</v>
      </c>
      <c r="Q75" s="225" t="s">
        <v>15899</v>
      </c>
      <c r="R75" s="182" t="str">
        <f ca="1">IF(ISERROR($V75),"",OFFSET('Smelter Look-up'!$C$4,$V75-4,0)&amp;"")</f>
        <v>Asahi Refining USA Inc.</v>
      </c>
      <c r="S75" s="181" t="str">
        <f t="shared" ca="1" si="12"/>
        <v>US</v>
      </c>
      <c r="T75" s="181" t="str">
        <f ca="1">IF(B75="","",IF(ISERROR(MATCH($J75,SorP!$B$1:$B$6279,0)),"",INDIRECT("'SorP'!$A$"&amp;MATCH($S75&amp;$J75,SorP!C:C,0))))</f>
        <v>US-UT</v>
      </c>
      <c r="U75" s="201"/>
      <c r="V75" s="226">
        <f>IF(C75="",NA(),IF(OR(C75="Smelter not listed",C75="Smelter not yet identified"),MATCH($B75&amp;$D75,'Smelter Look-up'!$J:$J,0),MATCH($B75&amp;$C75,'Smelter Look-up'!$J:$J,0)))</f>
        <v>31</v>
      </c>
      <c r="X75" s="227">
        <f t="shared" si="13"/>
        <v>0</v>
      </c>
      <c r="AB75" s="228" t="str">
        <f t="shared" si="14"/>
        <v>GoldAsahi Refining USA Inc.</v>
      </c>
    </row>
    <row r="76" spans="1:28" s="227" customFormat="1" ht="63.75">
      <c r="A76" s="181" t="s">
        <v>687</v>
      </c>
      <c r="B76" s="182" t="s">
        <v>1125</v>
      </c>
      <c r="C76" s="186" t="s">
        <v>2286</v>
      </c>
      <c r="D76" s="230"/>
      <c r="E76" s="182" t="s">
        <v>1093</v>
      </c>
      <c r="F76" s="182" t="s">
        <v>687</v>
      </c>
      <c r="G76" s="182" t="s">
        <v>13240</v>
      </c>
      <c r="H76" s="183" t="s">
        <v>15802</v>
      </c>
      <c r="I76" s="184" t="s">
        <v>1602</v>
      </c>
      <c r="J76" s="184" t="s">
        <v>1603</v>
      </c>
      <c r="K76" s="224" t="s">
        <v>15802</v>
      </c>
      <c r="L76" s="224" t="s">
        <v>15802</v>
      </c>
      <c r="M76" s="224" t="s">
        <v>15885</v>
      </c>
      <c r="N76" s="224" t="s">
        <v>15802</v>
      </c>
      <c r="O76" s="224" t="s">
        <v>490</v>
      </c>
      <c r="P76" s="185" t="s">
        <v>15802</v>
      </c>
      <c r="Q76" s="225" t="s">
        <v>15815</v>
      </c>
      <c r="R76" s="182" t="str">
        <f ca="1">IF(ISERROR($V76),"",OFFSET('Smelter Look-up'!$C$4,$V76-4,0)&amp;"")</f>
        <v>Asahi Refining Canada Ltd.</v>
      </c>
      <c r="S76" s="181" t="str">
        <f t="shared" ca="1" si="12"/>
        <v>CA</v>
      </c>
      <c r="T76" s="181" t="str">
        <f ca="1">IF(B76="","",IF(ISERROR(MATCH($J76,SorP!$B$1:$B$6279,0)),"",INDIRECT("'SorP'!$A$"&amp;MATCH($S76&amp;$J76,SorP!C:C,0))))</f>
        <v>CA-ON</v>
      </c>
      <c r="U76" s="201"/>
      <c r="V76" s="226">
        <f>IF(C76="",NA(),IF(OR(C76="Smelter not listed",C76="Smelter not yet identified"),MATCH($B76&amp;$D76,'Smelter Look-up'!$J:$J,0),MATCH($B76&amp;$C76,'Smelter Look-up'!$J:$J,0)))</f>
        <v>30</v>
      </c>
      <c r="X76" s="227">
        <f t="shared" si="13"/>
        <v>0</v>
      </c>
      <c r="AB76" s="228" t="str">
        <f t="shared" si="14"/>
        <v>GoldAsahi Refining Canada Ltd.</v>
      </c>
    </row>
    <row r="77" spans="1:28" s="227" customFormat="1" ht="102">
      <c r="A77" s="181" t="s">
        <v>688</v>
      </c>
      <c r="B77" s="182" t="s">
        <v>1125</v>
      </c>
      <c r="C77" s="186" t="s">
        <v>905</v>
      </c>
      <c r="D77" s="230"/>
      <c r="E77" s="182" t="s">
        <v>879</v>
      </c>
      <c r="F77" s="182" t="s">
        <v>688</v>
      </c>
      <c r="G77" s="182" t="s">
        <v>15883</v>
      </c>
      <c r="H77" s="183">
        <v>0</v>
      </c>
      <c r="I77" s="184" t="s">
        <v>1604</v>
      </c>
      <c r="J77" s="184" t="s">
        <v>9943</v>
      </c>
      <c r="K77" s="224"/>
      <c r="L77" s="224"/>
      <c r="M77" s="224" t="s">
        <v>15931</v>
      </c>
      <c r="N77" s="224"/>
      <c r="O77" s="224" t="s">
        <v>15932</v>
      </c>
      <c r="P77" s="185" t="s">
        <v>489</v>
      </c>
      <c r="Q77" s="225" t="s">
        <v>15933</v>
      </c>
      <c r="R77" s="182" t="str">
        <f ca="1">IF(ISERROR($V77),"",OFFSET('Smelter Look-up'!$C$4,$V77-4,0)&amp;"")</f>
        <v>JSC Ekaterinburg Non-Ferrous Metal Processing Plant</v>
      </c>
      <c r="S77" s="181" t="str">
        <f t="shared" ca="1" si="12"/>
        <v>RU</v>
      </c>
      <c r="T77" s="181" t="str">
        <f ca="1">IF(B77="","",IF(ISERROR(MATCH($J77,SorP!$B$1:$B$6279,0)),"",INDIRECT("'SorP'!$A$"&amp;MATCH($S77&amp;$J77,SorP!C:C,0))))</f>
        <v>RU-SVE</v>
      </c>
      <c r="U77" s="201"/>
      <c r="V77" s="226">
        <f>IF(C77="",NA(),IF(OR(C77="Smelter not listed",C77="Smelter not yet identified"),MATCH($B77&amp;$D77,'Smelter Look-up'!$J:$J,0),MATCH($B77&amp;$C77,'Smelter Look-up'!$J:$J,0)))</f>
        <v>129</v>
      </c>
      <c r="X77" s="227">
        <f t="shared" si="13"/>
        <v>0</v>
      </c>
      <c r="AB77" s="228" t="str">
        <f t="shared" si="14"/>
        <v>GoldJSC Ekaterinburg Non-Ferrous Metal Processing Plant</v>
      </c>
    </row>
    <row r="78" spans="1:28" s="227" customFormat="1" ht="38.25">
      <c r="A78" s="181" t="s">
        <v>689</v>
      </c>
      <c r="B78" s="182" t="s">
        <v>1125</v>
      </c>
      <c r="C78" s="186" t="s">
        <v>1402</v>
      </c>
      <c r="D78" s="230"/>
      <c r="E78" s="182" t="s">
        <v>879</v>
      </c>
      <c r="F78" s="182" t="s">
        <v>689</v>
      </c>
      <c r="G78" s="182" t="s">
        <v>13240</v>
      </c>
      <c r="H78" s="183">
        <v>0</v>
      </c>
      <c r="I78" s="184" t="s">
        <v>1604</v>
      </c>
      <c r="J78" s="184" t="s">
        <v>9943</v>
      </c>
      <c r="K78" s="224"/>
      <c r="L78" s="224"/>
      <c r="M78" s="224"/>
      <c r="N78" s="224"/>
      <c r="O78" s="224"/>
      <c r="P78" s="185"/>
      <c r="Q78" s="225" t="s">
        <v>15815</v>
      </c>
      <c r="R78" s="182" t="str">
        <f ca="1">IF(ISERROR($V78),"",OFFSET('Smelter Look-up'!$C$4,$V78-4,0)&amp;"")</f>
        <v>JSC Uralelectromed</v>
      </c>
      <c r="S78" s="181" t="str">
        <f t="shared" ca="1" si="12"/>
        <v>RU</v>
      </c>
      <c r="T78" s="181" t="str">
        <f ca="1">IF(B78="","",IF(ISERROR(MATCH($J78,SorP!$B$1:$B$6279,0)),"",INDIRECT("'SorP'!$A$"&amp;MATCH($S78&amp;$J78,SorP!C:C,0))))</f>
        <v>RU-SVE</v>
      </c>
      <c r="U78" s="201"/>
      <c r="V78" s="226">
        <f>IF(C78="",NA(),IF(OR(C78="Smelter not listed",C78="Smelter not yet identified"),MATCH($B78&amp;$D78,'Smelter Look-up'!$J:$J,0),MATCH($B78&amp;$C78,'Smelter Look-up'!$J:$J,0)))</f>
        <v>131</v>
      </c>
      <c r="X78" s="227">
        <f t="shared" si="13"/>
        <v>0</v>
      </c>
      <c r="AB78" s="228" t="str">
        <f t="shared" si="14"/>
        <v>GoldJSC Uralelectromed</v>
      </c>
    </row>
    <row r="79" spans="1:28" s="227" customFormat="1" ht="76.5">
      <c r="A79" s="181" t="s">
        <v>690</v>
      </c>
      <c r="B79" s="182" t="s">
        <v>1125</v>
      </c>
      <c r="C79" s="186" t="s">
        <v>55</v>
      </c>
      <c r="D79" s="230"/>
      <c r="E79" s="182" t="s">
        <v>1104</v>
      </c>
      <c r="F79" s="182" t="s">
        <v>690</v>
      </c>
      <c r="G79" s="182" t="s">
        <v>13240</v>
      </c>
      <c r="H79" s="183">
        <v>0</v>
      </c>
      <c r="I79" s="184" t="s">
        <v>2362</v>
      </c>
      <c r="J79" s="184" t="s">
        <v>6664</v>
      </c>
      <c r="K79" s="224"/>
      <c r="L79" s="224"/>
      <c r="M79" s="224"/>
      <c r="N79" s="224"/>
      <c r="O79" s="224"/>
      <c r="P79" s="185"/>
      <c r="Q79" s="225" t="s">
        <v>15815</v>
      </c>
      <c r="R79" s="182" t="str">
        <f ca="1">IF(ISERROR($V79),"",OFFSET('Smelter Look-up'!$C$4,$V79-4,0)&amp;"")</f>
        <v>JX Nippon Mining &amp; Metals Co., Ltd.</v>
      </c>
      <c r="S79" s="181" t="str">
        <f t="shared" ca="1" si="12"/>
        <v>JP</v>
      </c>
      <c r="T79" s="181" t="str">
        <f ca="1">IF(B79="","",IF(ISERROR(MATCH($J79,SorP!$B$1:$B$6279,0)),"",INDIRECT("'SorP'!$A$"&amp;MATCH($S79&amp;$J79,SorP!C:C,0))))</f>
        <v>JP-44</v>
      </c>
      <c r="U79" s="201"/>
      <c r="V79" s="226">
        <f>IF(C79="",NA(),IF(OR(C79="Smelter not listed",C79="Smelter not yet identified"),MATCH($B79&amp;$D79,'Smelter Look-up'!$J:$J,0),MATCH($B79&amp;$C79,'Smelter Look-up'!$J:$J,0)))</f>
        <v>132</v>
      </c>
      <c r="X79" s="227">
        <f t="shared" si="13"/>
        <v>0</v>
      </c>
      <c r="AB79" s="228" t="str">
        <f t="shared" si="14"/>
        <v>GoldJX Nippon Mining &amp; Metals Co., Ltd.</v>
      </c>
    </row>
    <row r="80" spans="1:28" s="227" customFormat="1" ht="89.25">
      <c r="A80" s="181" t="s">
        <v>769</v>
      </c>
      <c r="B80" s="182" t="s">
        <v>1126</v>
      </c>
      <c r="C80" s="186" t="s">
        <v>1420</v>
      </c>
      <c r="D80" s="230"/>
      <c r="E80" s="182" t="s">
        <v>1096</v>
      </c>
      <c r="F80" s="182" t="s">
        <v>769</v>
      </c>
      <c r="G80" s="182" t="s">
        <v>13240</v>
      </c>
      <c r="H80" s="183">
        <v>0</v>
      </c>
      <c r="I80" s="184" t="s">
        <v>2446</v>
      </c>
      <c r="J80" s="184" t="s">
        <v>13628</v>
      </c>
      <c r="K80" s="224"/>
      <c r="L80" s="224"/>
      <c r="M80" s="224"/>
      <c r="N80" s="224"/>
      <c r="O80" s="224"/>
      <c r="P80" s="185"/>
      <c r="Q80" s="225" t="s">
        <v>15815</v>
      </c>
      <c r="R80" s="182" t="str">
        <f ca="1">IF(ISERROR($V80),"",OFFSET('Smelter Look-up'!$C$4,$V80-4,0)&amp;"")</f>
        <v>Gejiu Kai Meng Industry and Trade LLC</v>
      </c>
      <c r="S80" s="181" t="str">
        <f t="shared" ca="1" si="12"/>
        <v>CN</v>
      </c>
      <c r="T80" s="181" t="str">
        <f ca="1">IF(B80="","",IF(ISERROR(MATCH($J80,SorP!$B$1:$B$6279,0)),"",INDIRECT("'SorP'!$A$"&amp;MATCH($S80&amp;$J80,SorP!C:C,0))))</f>
        <v>CN-YN</v>
      </c>
      <c r="U80" s="201"/>
      <c r="V80" s="226">
        <f>IF(C80="",NA(),IF(OR(C80="Smelter not listed",C80="Smelter not yet identified"),MATCH($B80&amp;$D80,'Smelter Look-up'!$J:$J,0),MATCH($B80&amp;$C80,'Smelter Look-up'!$J:$J,0)))</f>
        <v>435</v>
      </c>
      <c r="X80" s="227">
        <f t="shared" si="13"/>
        <v>0</v>
      </c>
      <c r="AB80" s="228" t="str">
        <f t="shared" si="14"/>
        <v>TinGejiu Kai Meng Industry and Trade LLC</v>
      </c>
    </row>
    <row r="81" spans="1:28" s="227" customFormat="1" ht="51">
      <c r="A81" s="181" t="s">
        <v>2195</v>
      </c>
      <c r="B81" s="182" t="s">
        <v>1125</v>
      </c>
      <c r="C81" s="186" t="s">
        <v>2194</v>
      </c>
      <c r="D81" s="230"/>
      <c r="E81" s="182" t="s">
        <v>1105</v>
      </c>
      <c r="F81" s="182" t="s">
        <v>2195</v>
      </c>
      <c r="G81" s="182" t="s">
        <v>13240</v>
      </c>
      <c r="H81" s="183"/>
      <c r="I81" s="184" t="s">
        <v>2196</v>
      </c>
      <c r="J81" s="184" t="s">
        <v>7058</v>
      </c>
      <c r="K81" s="224"/>
      <c r="L81" s="224"/>
      <c r="M81" s="224"/>
      <c r="N81" s="224"/>
      <c r="O81" s="224"/>
      <c r="P81" s="185"/>
      <c r="Q81" s="225"/>
      <c r="R81" s="182" t="str">
        <f ca="1">IF(ISERROR($V81),"",OFFSET('Smelter Look-up'!$C$4,$V81-4,0)&amp;"")</f>
        <v>Kazakhmys Smelting LLC</v>
      </c>
      <c r="S81" s="181" t="str">
        <f t="shared" ca="1" si="12"/>
        <v>KZ</v>
      </c>
      <c r="T81" s="181" t="str">
        <f ca="1">IF(B81="","",IF(ISERROR(MATCH($J81,SorP!$B$1:$B$6279,0)),"",INDIRECT("'SorP'!$A$"&amp;MATCH($S81&amp;$J81,SorP!C:C,0))))</f>
        <v>KZ-KAR</v>
      </c>
      <c r="U81" s="201"/>
      <c r="V81" s="226">
        <f>IF(C81="",NA(),IF(OR(C81="Smelter not listed",C81="Smelter not yet identified"),MATCH($B81&amp;$D81,'Smelter Look-up'!$J:$J,0),MATCH($B81&amp;$C81,'Smelter Look-up'!$J:$J,0)))</f>
        <v>135</v>
      </c>
      <c r="X81" s="227">
        <f t="shared" si="13"/>
        <v>0</v>
      </c>
      <c r="AB81" s="228" t="str">
        <f t="shared" si="14"/>
        <v>GoldKazakhmys Smelting LLC</v>
      </c>
    </row>
    <row r="82" spans="1:28" s="227" customFormat="1" ht="25.5">
      <c r="A82" s="181" t="s">
        <v>691</v>
      </c>
      <c r="B82" s="182" t="s">
        <v>1125</v>
      </c>
      <c r="C82" s="186" t="s">
        <v>1605</v>
      </c>
      <c r="D82" s="230"/>
      <c r="E82" s="182" t="s">
        <v>1105</v>
      </c>
      <c r="F82" s="182" t="s">
        <v>691</v>
      </c>
      <c r="G82" s="182" t="s">
        <v>13240</v>
      </c>
      <c r="H82" s="183" t="s">
        <v>15802</v>
      </c>
      <c r="I82" s="184" t="s">
        <v>1606</v>
      </c>
      <c r="J82" s="184" t="s">
        <v>7058</v>
      </c>
      <c r="K82" s="224" t="s">
        <v>15802</v>
      </c>
      <c r="L82" s="224" t="s">
        <v>15802</v>
      </c>
      <c r="M82" s="224" t="s">
        <v>15802</v>
      </c>
      <c r="N82" s="224" t="s">
        <v>15802</v>
      </c>
      <c r="O82" s="224" t="s">
        <v>490</v>
      </c>
      <c r="P82" s="185" t="s">
        <v>15802</v>
      </c>
      <c r="Q82" s="225" t="s">
        <v>15802</v>
      </c>
      <c r="R82" s="182" t="str">
        <f ca="1">IF(ISERROR($V82),"",OFFSET('Smelter Look-up'!$C$4,$V82-4,0)&amp;"")</f>
        <v>Kazzinc</v>
      </c>
      <c r="S82" s="181" t="str">
        <f t="shared" ca="1" si="12"/>
        <v>KZ</v>
      </c>
      <c r="T82" s="181" t="str">
        <f ca="1">IF(B82="","",IF(ISERROR(MATCH($J82,SorP!$B$1:$B$6279,0)),"",INDIRECT("'SorP'!$A$"&amp;MATCH($S82&amp;$J82,SorP!C:C,0))))</f>
        <v>KZ-KAR</v>
      </c>
      <c r="U82" s="201"/>
      <c r="V82" s="226">
        <f>IF(C82="",NA(),IF(OR(C82="Smelter not listed",C82="Smelter not yet identified"),MATCH($B82&amp;$D82,'Smelter Look-up'!$J:$J,0),MATCH($B82&amp;$C82,'Smelter Look-up'!$J:$J,0)))</f>
        <v>136</v>
      </c>
      <c r="X82" s="227">
        <f t="shared" si="13"/>
        <v>0</v>
      </c>
      <c r="AB82" s="228" t="str">
        <f t="shared" si="14"/>
        <v>GoldKazzinc</v>
      </c>
    </row>
    <row r="83" spans="1:28" s="227" customFormat="1" ht="51">
      <c r="A83" s="181" t="s">
        <v>797</v>
      </c>
      <c r="B83" s="182" t="s">
        <v>1128</v>
      </c>
      <c r="C83" s="186" t="s">
        <v>150</v>
      </c>
      <c r="D83" s="230"/>
      <c r="E83" s="182" t="s">
        <v>2432</v>
      </c>
      <c r="F83" s="182" t="s">
        <v>797</v>
      </c>
      <c r="G83" s="182" t="s">
        <v>13240</v>
      </c>
      <c r="H83" s="183" t="s">
        <v>15802</v>
      </c>
      <c r="I83" s="184" t="s">
        <v>1828</v>
      </c>
      <c r="J83" s="184" t="s">
        <v>1756</v>
      </c>
      <c r="K83" s="224" t="s">
        <v>15802</v>
      </c>
      <c r="L83" s="224" t="s">
        <v>15802</v>
      </c>
      <c r="M83" s="224" t="s">
        <v>15890</v>
      </c>
      <c r="N83" s="224" t="s">
        <v>15802</v>
      </c>
      <c r="O83" s="224" t="s">
        <v>490</v>
      </c>
      <c r="P83" s="185" t="s">
        <v>15802</v>
      </c>
      <c r="Q83" s="225" t="s">
        <v>15888</v>
      </c>
      <c r="R83" s="182" t="str">
        <f ca="1">IF(ISERROR($V83),"",OFFSET('Smelter Look-up'!$C$4,$V83-4,0)&amp;"")</f>
        <v>Kennametal Fallon</v>
      </c>
      <c r="S83" s="181" t="str">
        <f t="shared" ca="1" si="12"/>
        <v>US</v>
      </c>
      <c r="T83" s="181" t="str">
        <f ca="1">IF(B83="","",IF(ISERROR(MATCH($J83,SorP!$B$1:$B$6279,0)),"",INDIRECT("'SorP'!$A$"&amp;MATCH($S83&amp;$J83,SorP!C:C,0))))</f>
        <v>US-NV</v>
      </c>
      <c r="U83" s="201"/>
      <c r="V83" s="226">
        <f>IF(C83="",NA(),IF(OR(C83="Smelter not listed",C83="Smelter not yet identified"),MATCH($B83&amp;$D83,'Smelter Look-up'!$J:$J,0),MATCH($B83&amp;$C83,'Smelter Look-up'!$J:$J,0)))</f>
        <v>611</v>
      </c>
      <c r="X83" s="227">
        <f t="shared" si="13"/>
        <v>0</v>
      </c>
      <c r="AB83" s="228" t="str">
        <f t="shared" si="14"/>
        <v>TungstenKennametal Fallon</v>
      </c>
    </row>
    <row r="84" spans="1:28" s="227" customFormat="1" ht="63.75">
      <c r="A84" s="181" t="s">
        <v>693</v>
      </c>
      <c r="B84" s="182" t="s">
        <v>1125</v>
      </c>
      <c r="C84" s="186" t="s">
        <v>692</v>
      </c>
      <c r="D84" s="230"/>
      <c r="E84" s="182" t="s">
        <v>2432</v>
      </c>
      <c r="F84" s="182" t="s">
        <v>693</v>
      </c>
      <c r="G84" s="182" t="s">
        <v>13240</v>
      </c>
      <c r="H84" s="183">
        <v>0</v>
      </c>
      <c r="I84" s="184" t="s">
        <v>1607</v>
      </c>
      <c r="J84" s="184" t="s">
        <v>1600</v>
      </c>
      <c r="K84" s="224"/>
      <c r="L84" s="224"/>
      <c r="M84" s="224"/>
      <c r="N84" s="224"/>
      <c r="O84" s="224"/>
      <c r="P84" s="185"/>
      <c r="Q84" s="225" t="s">
        <v>15815</v>
      </c>
      <c r="R84" s="182" t="str">
        <f ca="1">IF(ISERROR($V84),"",OFFSET('Smelter Look-up'!$C$4,$V84-4,0)&amp;"")</f>
        <v>Kennecott Utah Copper LLC</v>
      </c>
      <c r="S84" s="181" t="str">
        <f t="shared" ca="1" si="12"/>
        <v>US</v>
      </c>
      <c r="T84" s="181" t="str">
        <f ca="1">IF(B84="","",IF(ISERROR(MATCH($J84,SorP!$B$1:$B$6279,0)),"",INDIRECT("'SorP'!$A$"&amp;MATCH($S84&amp;$J84,SorP!C:C,0))))</f>
        <v>US-UT</v>
      </c>
      <c r="U84" s="201"/>
      <c r="V84" s="226">
        <f>IF(C84="",NA(),IF(OR(C84="Smelter not listed",C84="Smelter not yet identified"),MATCH($B84&amp;$D84,'Smelter Look-up'!$J:$J,0),MATCH($B84&amp;$C84,'Smelter Look-up'!$J:$J,0)))</f>
        <v>137</v>
      </c>
      <c r="X84" s="227">
        <f t="shared" si="13"/>
        <v>0</v>
      </c>
      <c r="AB84" s="228" t="str">
        <f t="shared" si="14"/>
        <v>GoldKennecott Utah Copper LLC</v>
      </c>
    </row>
    <row r="85" spans="1:28" s="227" customFormat="1" ht="63.75">
      <c r="A85" s="181" t="s">
        <v>694</v>
      </c>
      <c r="B85" s="182" t="s">
        <v>1125</v>
      </c>
      <c r="C85" s="186" t="s">
        <v>2147</v>
      </c>
      <c r="D85" s="230"/>
      <c r="E85" s="182" t="s">
        <v>1104</v>
      </c>
      <c r="F85" s="182" t="s">
        <v>694</v>
      </c>
      <c r="G85" s="182" t="s">
        <v>13240</v>
      </c>
      <c r="H85" s="183">
        <v>0</v>
      </c>
      <c r="I85" s="184" t="s">
        <v>1608</v>
      </c>
      <c r="J85" s="184" t="s">
        <v>1580</v>
      </c>
      <c r="K85" s="224"/>
      <c r="L85" s="224"/>
      <c r="M85" s="224"/>
      <c r="N85" s="224" t="s">
        <v>15897</v>
      </c>
      <c r="O85" s="224" t="s">
        <v>15897</v>
      </c>
      <c r="P85" s="185" t="s">
        <v>488</v>
      </c>
      <c r="Q85" s="225" t="s">
        <v>15899</v>
      </c>
      <c r="R85" s="182" t="str">
        <f ca="1">IF(ISERROR($V85),"",OFFSET('Smelter Look-up'!$C$4,$V85-4,0)&amp;"")</f>
        <v>Kojima Chemicals Co., Ltd.</v>
      </c>
      <c r="S85" s="181" t="str">
        <f t="shared" ca="1" si="12"/>
        <v>JP</v>
      </c>
      <c r="T85" s="181" t="str">
        <f ca="1">IF(B85="","",IF(ISERROR(MATCH($J85,SorP!$B$1:$B$6279,0)),"",INDIRECT("'SorP'!$A$"&amp;MATCH($S85&amp;$J85,SorP!C:C,0))))</f>
        <v>JP-11</v>
      </c>
      <c r="U85" s="201"/>
      <c r="V85" s="226">
        <f>IF(C85="",NA(),IF(OR(C85="Smelter not listed",C85="Smelter not yet identified"),MATCH($B85&amp;$D85,'Smelter Look-up'!$J:$J,0),MATCH($B85&amp;$C85,'Smelter Look-up'!$J:$J,0)))</f>
        <v>141</v>
      </c>
      <c r="X85" s="227">
        <f t="shared" si="13"/>
        <v>0</v>
      </c>
      <c r="AB85" s="228" t="str">
        <f t="shared" si="14"/>
        <v>GoldKojima Chemicals Co., Ltd.</v>
      </c>
    </row>
    <row r="86" spans="1:28" s="227" customFormat="1" ht="38.25">
      <c r="A86" s="181" t="s">
        <v>695</v>
      </c>
      <c r="B86" s="182" t="s">
        <v>1125</v>
      </c>
      <c r="C86" s="186" t="s">
        <v>842</v>
      </c>
      <c r="D86" s="230"/>
      <c r="E86" s="182" t="s">
        <v>1106</v>
      </c>
      <c r="F86" s="182" t="s">
        <v>695</v>
      </c>
      <c r="G86" s="182" t="s">
        <v>13240</v>
      </c>
      <c r="H86" s="183">
        <v>0</v>
      </c>
      <c r="I86" s="184" t="s">
        <v>1610</v>
      </c>
      <c r="J86" s="184" t="s">
        <v>12860</v>
      </c>
      <c r="K86" s="224"/>
      <c r="L86" s="224"/>
      <c r="M86" s="224"/>
      <c r="N86" s="224"/>
      <c r="O86" s="224"/>
      <c r="P86" s="185"/>
      <c r="Q86" s="225" t="s">
        <v>15815</v>
      </c>
      <c r="R86" s="182" t="str">
        <f ca="1">IF(ISERROR($V86),"",OFFSET('Smelter Look-up'!$C$4,$V86-4,0)&amp;"")</f>
        <v>Kyrgyzaltyn JSC</v>
      </c>
      <c r="S86" s="181" t="str">
        <f t="shared" ca="1" si="12"/>
        <v>KG</v>
      </c>
      <c r="T86" s="181" t="str">
        <f ca="1">IF(B86="","",IF(ISERROR(MATCH($J86,SorP!$B$1:$B$6279,0)),"",INDIRECT("'SorP'!$A$"&amp;MATCH($S86&amp;$J86,SorP!C:C,0))))</f>
        <v>KG-C</v>
      </c>
      <c r="U86" s="201"/>
      <c r="V86" s="226">
        <f>IF(C86="",NA(),IF(OR(C86="Smelter not listed",C86="Smelter not yet identified"),MATCH($B86&amp;$D86,'Smelter Look-up'!$J:$J,0),MATCH($B86&amp;$C86,'Smelter Look-up'!$J:$J,0)))</f>
        <v>148</v>
      </c>
      <c r="X86" s="227">
        <f t="shared" si="13"/>
        <v>0</v>
      </c>
      <c r="AB86" s="228" t="str">
        <f t="shared" si="14"/>
        <v>GoldKyrgyzaltyn JSC</v>
      </c>
    </row>
    <row r="87" spans="1:28" s="227" customFormat="1" ht="63.75">
      <c r="A87" s="181" t="s">
        <v>1385</v>
      </c>
      <c r="B87" s="182" t="s">
        <v>1125</v>
      </c>
      <c r="C87" s="186" t="s">
        <v>2304</v>
      </c>
      <c r="D87" s="230"/>
      <c r="E87" s="182" t="s">
        <v>1096</v>
      </c>
      <c r="F87" s="182" t="s">
        <v>1385</v>
      </c>
      <c r="G87" s="182" t="s">
        <v>13240</v>
      </c>
      <c r="H87" s="183">
        <v>0</v>
      </c>
      <c r="I87" s="184" t="s">
        <v>1612</v>
      </c>
      <c r="J87" s="184" t="s">
        <v>13621</v>
      </c>
      <c r="K87" s="224"/>
      <c r="L87" s="224"/>
      <c r="M87" s="224"/>
      <c r="N87" s="224"/>
      <c r="O87" s="224"/>
      <c r="P87" s="185"/>
      <c r="Q87" s="225"/>
      <c r="R87" s="182" t="str">
        <f ca="1">IF(ISERROR($V87),"",OFFSET('Smelter Look-up'!$C$4,$V87-4,0)&amp;"")</f>
        <v>Lingbao Gold Co., Ltd.</v>
      </c>
      <c r="S87" s="181" t="str">
        <f t="shared" ca="1" si="12"/>
        <v>CN</v>
      </c>
      <c r="T87" s="181" t="str">
        <f ca="1">IF(B87="","",IF(ISERROR(MATCH($J87,SorP!$B$1:$B$6279,0)),"",INDIRECT("'SorP'!$A$"&amp;MATCH($S87&amp;$J87,SorP!C:C,0))))</f>
        <v>CN-HA</v>
      </c>
      <c r="U87" s="201"/>
      <c r="V87" s="226">
        <f>IF(C87="",NA(),IF(OR(C87="Smelter not listed",C87="Smelter not yet identified"),MATCH($B87&amp;$D87,'Smelter Look-up'!$J:$J,0),MATCH($B87&amp;$C87,'Smelter Look-up'!$J:$J,0)))</f>
        <v>154</v>
      </c>
      <c r="X87" s="227">
        <f t="shared" si="13"/>
        <v>0</v>
      </c>
      <c r="AB87" s="228" t="str">
        <f t="shared" si="14"/>
        <v>GoldLingbao Gold Co., Ltd.</v>
      </c>
    </row>
    <row r="88" spans="1:28" s="227" customFormat="1" ht="63.75">
      <c r="A88" s="181" t="s">
        <v>770</v>
      </c>
      <c r="B88" s="182" t="s">
        <v>1126</v>
      </c>
      <c r="C88" s="186" t="s">
        <v>1322</v>
      </c>
      <c r="D88" s="230"/>
      <c r="E88" s="182" t="s">
        <v>1096</v>
      </c>
      <c r="F88" s="182" t="s">
        <v>770</v>
      </c>
      <c r="G88" s="182" t="s">
        <v>13240</v>
      </c>
      <c r="H88" s="183">
        <v>0</v>
      </c>
      <c r="I88" s="184" t="s">
        <v>1775</v>
      </c>
      <c r="J88" s="184" t="s">
        <v>13603</v>
      </c>
      <c r="K88" s="224"/>
      <c r="L88" s="224"/>
      <c r="M88" s="224"/>
      <c r="N88" s="224"/>
      <c r="O88" s="224" t="s">
        <v>15900</v>
      </c>
      <c r="P88" s="185" t="s">
        <v>489</v>
      </c>
      <c r="Q88" s="225" t="s">
        <v>15913</v>
      </c>
      <c r="R88" s="182" t="str">
        <f ca="1">IF(ISERROR($V88),"",OFFSET('Smelter Look-up'!$C$4,$V88-4,0)&amp;"")</f>
        <v>China Tin Group Co., Ltd.</v>
      </c>
      <c r="S88" s="181" t="str">
        <f t="shared" ca="1" si="12"/>
        <v>CN</v>
      </c>
      <c r="T88" s="181" t="str">
        <f ca="1">IF(B88="","",IF(ISERROR(MATCH($J88,SorP!$B$1:$B$6279,0)),"",INDIRECT("'SorP'!$A$"&amp;MATCH($S88&amp;$J88,SorP!C:C,0))))</f>
        <v>CN-GX</v>
      </c>
      <c r="U88" s="201"/>
      <c r="V88" s="226">
        <f>IF(C88="",NA(),IF(OR(C88="Smelter not listed",C88="Smelter not yet identified"),MATCH($B88&amp;$D88,'Smelter Look-up'!$J:$J,0),MATCH($B88&amp;$C88,'Smelter Look-up'!$J:$J,0)))</f>
        <v>403</v>
      </c>
      <c r="X88" s="227">
        <f t="shared" si="13"/>
        <v>0</v>
      </c>
      <c r="AB88" s="228" t="str">
        <f t="shared" si="14"/>
        <v>TinChina Tin Group Co., Ltd.</v>
      </c>
    </row>
    <row r="89" spans="1:28" s="227" customFormat="1" ht="51">
      <c r="A89" s="181" t="s">
        <v>751</v>
      </c>
      <c r="B89" s="182" t="s">
        <v>1127</v>
      </c>
      <c r="C89" s="186" t="s">
        <v>47</v>
      </c>
      <c r="D89" s="230"/>
      <c r="E89" s="182" t="s">
        <v>1092</v>
      </c>
      <c r="F89" s="182" t="s">
        <v>751</v>
      </c>
      <c r="G89" s="182" t="s">
        <v>13240</v>
      </c>
      <c r="H89" s="183">
        <v>0</v>
      </c>
      <c r="I89" s="184" t="s">
        <v>1721</v>
      </c>
      <c r="J89" s="184" t="s">
        <v>1547</v>
      </c>
      <c r="K89" s="224"/>
      <c r="L89" s="224"/>
      <c r="M89" s="224"/>
      <c r="N89" s="224"/>
      <c r="O89" s="224"/>
      <c r="P89" s="185"/>
      <c r="Q89" s="225" t="s">
        <v>15815</v>
      </c>
      <c r="R89" s="182" t="str">
        <f ca="1">IF(ISERROR($V89),"",OFFSET('Smelter Look-up'!$C$4,$V89-4,0)&amp;"")</f>
        <v>AMG Brasil</v>
      </c>
      <c r="S89" s="181" t="str">
        <f t="shared" ca="1" si="12"/>
        <v>BR</v>
      </c>
      <c r="T89" s="181" t="str">
        <f ca="1">IF(B89="","",IF(ISERROR(MATCH($J89,SorP!$B$1:$B$6279,0)),"",INDIRECT("'SorP'!$A$"&amp;MATCH($S89&amp;$J89,SorP!C:C,0))))</f>
        <v>BR-MG</v>
      </c>
      <c r="U89" s="201"/>
      <c r="V89" s="226">
        <f>IF(C89="",NA(),IF(OR(C89="Smelter not listed",C89="Smelter not yet identified"),MATCH($B89&amp;$D89,'Smelter Look-up'!$J:$J,0),MATCH($B89&amp;$C89,'Smelter Look-up'!$J:$J,0)))</f>
        <v>347</v>
      </c>
      <c r="X89" s="227">
        <f t="shared" si="13"/>
        <v>0</v>
      </c>
      <c r="AB89" s="228" t="str">
        <f t="shared" si="14"/>
        <v>TantalumLSM Brasil S.A.</v>
      </c>
    </row>
    <row r="90" spans="1:28" s="227" customFormat="1" ht="51">
      <c r="A90" s="181" t="s">
        <v>698</v>
      </c>
      <c r="B90" s="182" t="s">
        <v>1125</v>
      </c>
      <c r="C90" s="186" t="s">
        <v>56</v>
      </c>
      <c r="D90" s="230"/>
      <c r="E90" s="182" t="s">
        <v>1107</v>
      </c>
      <c r="F90" s="182" t="s">
        <v>698</v>
      </c>
      <c r="G90" s="182" t="s">
        <v>13240</v>
      </c>
      <c r="H90" s="183">
        <v>0</v>
      </c>
      <c r="I90" s="184" t="s">
        <v>1613</v>
      </c>
      <c r="J90" s="184" t="s">
        <v>12867</v>
      </c>
      <c r="K90" s="224"/>
      <c r="L90" s="224"/>
      <c r="M90" s="224"/>
      <c r="N90" s="224"/>
      <c r="O90" s="224"/>
      <c r="P90" s="185"/>
      <c r="Q90" s="225" t="s">
        <v>15815</v>
      </c>
      <c r="R90" s="182" t="str">
        <f ca="1">IF(ISERROR($V90),"",OFFSET('Smelter Look-up'!$C$4,$V90-4,0)&amp;"")</f>
        <v>LS-NIKKO Copper Inc.</v>
      </c>
      <c r="S90" s="181" t="str">
        <f t="shared" ca="1" si="12"/>
        <v>KR</v>
      </c>
      <c r="T90" s="181" t="str">
        <f ca="1">IF(B90="","",IF(ISERROR(MATCH($J90,SorP!$B$1:$B$6279,0)),"",INDIRECT("'SorP'!$A$"&amp;MATCH($S90&amp;$J90,SorP!C:C,0))))</f>
        <v>KR-31</v>
      </c>
      <c r="U90" s="201"/>
      <c r="V90" s="226">
        <f>IF(C90="",NA(),IF(OR(C90="Smelter not listed",C90="Smelter not yet identified"),MATCH($B90&amp;$D90,'Smelter Look-up'!$J:$J,0),MATCH($B90&amp;$C90,'Smelter Look-up'!$J:$J,0)))</f>
        <v>157</v>
      </c>
      <c r="X90" s="227">
        <f t="shared" si="13"/>
        <v>0</v>
      </c>
      <c r="AB90" s="228" t="str">
        <f t="shared" si="14"/>
        <v>GoldLS-NIKKO Copper Inc.</v>
      </c>
    </row>
    <row r="91" spans="1:28" s="227" customFormat="1" ht="76.5">
      <c r="A91" s="181" t="s">
        <v>771</v>
      </c>
      <c r="B91" s="182" t="s">
        <v>1126</v>
      </c>
      <c r="C91" s="186" t="s">
        <v>817</v>
      </c>
      <c r="D91" s="230"/>
      <c r="E91" s="182" t="s">
        <v>1111</v>
      </c>
      <c r="F91" s="182" t="s">
        <v>771</v>
      </c>
      <c r="G91" s="182" t="s">
        <v>13240</v>
      </c>
      <c r="H91" s="183">
        <v>0</v>
      </c>
      <c r="I91" s="184" t="s">
        <v>1780</v>
      </c>
      <c r="J91" s="184" t="s">
        <v>8688</v>
      </c>
      <c r="K91" s="224"/>
      <c r="L91" s="224"/>
      <c r="M91" s="224"/>
      <c r="N91" s="224"/>
      <c r="O91" s="224" t="s">
        <v>15934</v>
      </c>
      <c r="P91" s="185" t="s">
        <v>489</v>
      </c>
      <c r="Q91" s="225" t="s">
        <v>15913</v>
      </c>
      <c r="R91" s="182" t="str">
        <f ca="1">IF(ISERROR($V91),"",OFFSET('Smelter Look-up'!$C$4,$V91-4,0)&amp;"")</f>
        <v>Malaysia Smelting Corporation (MSC)</v>
      </c>
      <c r="S91" s="181" t="str">
        <f t="shared" ca="1" si="12"/>
        <v>MY</v>
      </c>
      <c r="T91" s="181" t="str">
        <f ca="1">IF(B91="","",IF(ISERROR(MATCH($J91,SorP!$B$1:$B$6279,0)),"",INDIRECT("'SorP'!$A$"&amp;MATCH($S91&amp;$J91,SorP!C:C,0))))</f>
        <v>MY-07</v>
      </c>
      <c r="U91" s="201"/>
      <c r="V91" s="226">
        <f>IF(C91="",NA(),IF(OR(C91="Smelter not listed",C91="Smelter not yet identified"),MATCH($B91&amp;$D91,'Smelter Look-up'!$J:$J,0),MATCH($B91&amp;$C91,'Smelter Look-up'!$J:$J,0)))</f>
        <v>458</v>
      </c>
      <c r="X91" s="227">
        <f t="shared" si="13"/>
        <v>0</v>
      </c>
      <c r="AB91" s="228" t="str">
        <f t="shared" si="14"/>
        <v>TinMalaysia Smelting Corporation (MSC)</v>
      </c>
    </row>
    <row r="92" spans="1:28" s="227" customFormat="1" ht="25.5">
      <c r="A92" s="181" t="s">
        <v>701</v>
      </c>
      <c r="B92" s="182" t="s">
        <v>1125</v>
      </c>
      <c r="C92" s="186" t="s">
        <v>906</v>
      </c>
      <c r="D92" s="230"/>
      <c r="E92" s="182" t="s">
        <v>2432</v>
      </c>
      <c r="F92" s="182" t="s">
        <v>701</v>
      </c>
      <c r="G92" s="182" t="s">
        <v>13240</v>
      </c>
      <c r="H92" s="183">
        <v>0</v>
      </c>
      <c r="I92" s="184" t="s">
        <v>1616</v>
      </c>
      <c r="J92" s="184" t="s">
        <v>1617</v>
      </c>
      <c r="K92" s="224"/>
      <c r="L92" s="224"/>
      <c r="M92" s="224"/>
      <c r="N92" s="224"/>
      <c r="O92" s="224"/>
      <c r="P92" s="185"/>
      <c r="Q92" s="225" t="s">
        <v>15815</v>
      </c>
      <c r="R92" s="182" t="str">
        <f ca="1">IF(ISERROR($V92),"",OFFSET('Smelter Look-up'!$C$4,$V92-4,0)&amp;"")</f>
        <v>Materion</v>
      </c>
      <c r="S92" s="181" t="str">
        <f t="shared" ca="1" si="12"/>
        <v>US</v>
      </c>
      <c r="T92" s="181" t="str">
        <f ca="1">IF(B92="","",IF(ISERROR(MATCH($J92,SorP!$B$1:$B$6279,0)),"",INDIRECT("'SorP'!$A$"&amp;MATCH($S92&amp;$J92,SorP!C:C,0))))</f>
        <v>US-NY</v>
      </c>
      <c r="U92" s="201"/>
      <c r="V92" s="226">
        <f>IF(C92="",NA(),IF(OR(C92="Smelter not listed",C92="Smelter not yet identified"),MATCH($B92&amp;$D92,'Smelter Look-up'!$J:$J,0),MATCH($B92&amp;$C92,'Smelter Look-up'!$J:$J,0)))</f>
        <v>163</v>
      </c>
      <c r="X92" s="227">
        <f t="shared" si="13"/>
        <v>0</v>
      </c>
      <c r="AB92" s="228" t="str">
        <f t="shared" si="14"/>
        <v>GoldMaterion</v>
      </c>
    </row>
    <row r="93" spans="1:28" s="227" customFormat="1" ht="63.75">
      <c r="A93" s="181" t="s">
        <v>702</v>
      </c>
      <c r="B93" s="182" t="s">
        <v>1125</v>
      </c>
      <c r="C93" s="186" t="s">
        <v>57</v>
      </c>
      <c r="D93" s="230"/>
      <c r="E93" s="182" t="s">
        <v>1104</v>
      </c>
      <c r="F93" s="182" t="s">
        <v>702</v>
      </c>
      <c r="G93" s="182" t="s">
        <v>13240</v>
      </c>
      <c r="H93" s="183">
        <v>0</v>
      </c>
      <c r="I93" s="184" t="s">
        <v>1618</v>
      </c>
      <c r="J93" s="184" t="s">
        <v>1580</v>
      </c>
      <c r="K93" s="224"/>
      <c r="L93" s="224"/>
      <c r="M93" s="224"/>
      <c r="N93" s="224" t="s">
        <v>15897</v>
      </c>
      <c r="O93" s="224" t="s">
        <v>15897</v>
      </c>
      <c r="P93" s="185" t="s">
        <v>488</v>
      </c>
      <c r="Q93" s="225" t="s">
        <v>15899</v>
      </c>
      <c r="R93" s="182" t="str">
        <f ca="1">IF(ISERROR($V93),"",OFFSET('Smelter Look-up'!$C$4,$V93-4,0)&amp;"")</f>
        <v>Matsuda Sangyo Co., Ltd.</v>
      </c>
      <c r="S93" s="181" t="str">
        <f t="shared" ca="1" si="12"/>
        <v>JP</v>
      </c>
      <c r="T93" s="181" t="str">
        <f ca="1">IF(B93="","",IF(ISERROR(MATCH($J93,SorP!$B$1:$B$6279,0)),"",INDIRECT("'SorP'!$A$"&amp;MATCH($S93&amp;$J93,SorP!C:C,0))))</f>
        <v>JP-11</v>
      </c>
      <c r="U93" s="201"/>
      <c r="V93" s="226">
        <f>IF(C93="",NA(),IF(OR(C93="Smelter not listed",C93="Smelter not yet identified"),MATCH($B93&amp;$D93,'Smelter Look-up'!$J:$J,0),MATCH($B93&amp;$C93,'Smelter Look-up'!$J:$J,0)))</f>
        <v>164</v>
      </c>
      <c r="X93" s="227">
        <f t="shared" si="13"/>
        <v>0</v>
      </c>
      <c r="AB93" s="228" t="str">
        <f t="shared" si="14"/>
        <v>GoldMatsuda Sangyo Co., Ltd.</v>
      </c>
    </row>
    <row r="94" spans="1:28" s="227" customFormat="1" ht="51">
      <c r="A94" s="181" t="s">
        <v>1781</v>
      </c>
      <c r="B94" s="182" t="s">
        <v>1126</v>
      </c>
      <c r="C94" s="186" t="s">
        <v>2149</v>
      </c>
      <c r="D94" s="230"/>
      <c r="E94" s="182" t="s">
        <v>2432</v>
      </c>
      <c r="F94" s="182" t="s">
        <v>1781</v>
      </c>
      <c r="G94" s="182" t="s">
        <v>13240</v>
      </c>
      <c r="H94" s="183">
        <v>0</v>
      </c>
      <c r="I94" s="184" t="s">
        <v>1782</v>
      </c>
      <c r="J94" s="184" t="s">
        <v>1635</v>
      </c>
      <c r="K94" s="224"/>
      <c r="L94" s="224"/>
      <c r="M94" s="224"/>
      <c r="N94" s="224"/>
      <c r="O94" s="224"/>
      <c r="P94" s="185"/>
      <c r="Q94" s="225" t="s">
        <v>15815</v>
      </c>
      <c r="R94" s="182" t="str">
        <f ca="1">IF(ISERROR($V94),"",OFFSET('Smelter Look-up'!$C$4,$V94-4,0)&amp;"")</f>
        <v>Metallic Resources, Inc.</v>
      </c>
      <c r="S94" s="181" t="str">
        <f t="shared" ca="1" si="12"/>
        <v>US</v>
      </c>
      <c r="T94" s="181" t="str">
        <f ca="1">IF(B94="","",IF(ISERROR(MATCH($J94,SorP!$B$1:$B$6279,0)),"",INDIRECT("'SorP'!$A$"&amp;MATCH($S94&amp;$J94,SorP!C:C,0))))</f>
        <v>US-OH</v>
      </c>
      <c r="U94" s="201"/>
      <c r="V94" s="226">
        <f>IF(C94="",NA(),IF(OR(C94="Smelter not listed",C94="Smelter not yet identified"),MATCH($B94&amp;$D94,'Smelter Look-up'!$J:$J,0),MATCH($B94&amp;$C94,'Smelter Look-up'!$J:$J,0)))</f>
        <v>462</v>
      </c>
      <c r="X94" s="227">
        <f t="shared" si="13"/>
        <v>0</v>
      </c>
      <c r="AB94" s="228" t="str">
        <f t="shared" si="14"/>
        <v>TinMetallic Resources, Inc.</v>
      </c>
    </row>
    <row r="95" spans="1:28" s="227" customFormat="1" ht="51">
      <c r="A95" s="181"/>
      <c r="B95" s="182" t="s">
        <v>1126</v>
      </c>
      <c r="C95" s="186" t="s">
        <v>15935</v>
      </c>
      <c r="D95" s="230" t="s">
        <v>15935</v>
      </c>
      <c r="E95" s="182" t="s">
        <v>1091</v>
      </c>
      <c r="F95" s="182" t="s">
        <v>15936</v>
      </c>
      <c r="G95" s="182" t="s">
        <v>15883</v>
      </c>
      <c r="H95" s="183" t="s">
        <v>15937</v>
      </c>
      <c r="I95" s="184" t="s">
        <v>15938</v>
      </c>
      <c r="J95" s="184"/>
      <c r="K95" s="224" t="s">
        <v>15939</v>
      </c>
      <c r="L95" s="224" t="s">
        <v>15940</v>
      </c>
      <c r="M95" s="224"/>
      <c r="N95" s="224"/>
      <c r="O95" s="224"/>
      <c r="P95" s="185"/>
      <c r="Q95" s="225"/>
      <c r="R95" s="182" t="str">
        <f ca="1">IF(ISERROR($V95),"",OFFSET('Smelter Look-up'!$C$4,$V95-4,0)&amp;"")</f>
        <v/>
      </c>
      <c r="S95" s="181" t="str">
        <f t="shared" ca="1" si="12"/>
        <v>BE</v>
      </c>
      <c r="T95" s="181" t="str">
        <f ca="1">IF(B95="","",IF(ISERROR(MATCH($J95,SorP!$B$1:$B$6279,0)),"",INDIRECT("'SorP'!$A$"&amp;MATCH($S95&amp;$J95,SorP!C:C,0))))</f>
        <v/>
      </c>
      <c r="U95" s="201"/>
      <c r="V95" s="226" t="e">
        <f>IF(C95="",NA(),IF(OR(C95="Smelter not listed",C95="Smelter not yet identified"),MATCH($B95&amp;$D95,'Smelter Look-up'!$J:$J,0),MATCH($B95&amp;$C95,'Smelter Look-up'!$J:$J,0)))</f>
        <v>#N/A</v>
      </c>
      <c r="X95" s="227">
        <f t="shared" si="13"/>
        <v>0</v>
      </c>
      <c r="AB95" s="228" t="str">
        <f t="shared" si="14"/>
        <v>TinMetallo Chimique</v>
      </c>
    </row>
    <row r="96" spans="1:28" s="227" customFormat="1" ht="76.5">
      <c r="A96" s="181" t="s">
        <v>1620</v>
      </c>
      <c r="B96" s="182" t="s">
        <v>1125</v>
      </c>
      <c r="C96" s="186" t="s">
        <v>1619</v>
      </c>
      <c r="D96" s="230"/>
      <c r="E96" s="182" t="s">
        <v>1096</v>
      </c>
      <c r="F96" s="182" t="s">
        <v>1620</v>
      </c>
      <c r="G96" s="182" t="s">
        <v>13240</v>
      </c>
      <c r="H96" s="183">
        <v>0</v>
      </c>
      <c r="I96" s="184" t="s">
        <v>2512</v>
      </c>
      <c r="J96" s="184" t="s">
        <v>13632</v>
      </c>
      <c r="K96" s="224"/>
      <c r="L96" s="224"/>
      <c r="M96" s="224"/>
      <c r="N96" s="224"/>
      <c r="O96" s="224"/>
      <c r="P96" s="185"/>
      <c r="Q96" s="225" t="s">
        <v>15815</v>
      </c>
      <c r="R96" s="182" t="str">
        <f ca="1">IF(ISERROR($V96),"",OFFSET('Smelter Look-up'!$C$4,$V96-4,0)&amp;"")</f>
        <v>Metalor Technologies (Suzhou) Ltd.</v>
      </c>
      <c r="S96" s="181" t="str">
        <f t="shared" ca="1" si="12"/>
        <v>CN</v>
      </c>
      <c r="T96" s="181" t="str">
        <f ca="1">IF(B96="","",IF(ISERROR(MATCH($J96,SorP!$B$1:$B$6279,0)),"",INDIRECT("'SorP'!$A$"&amp;MATCH($S96&amp;$J96,SorP!C:C,0))))</f>
        <v>CN-JS</v>
      </c>
      <c r="U96" s="201"/>
      <c r="V96" s="226">
        <f>IF(C96="",NA(),IF(OR(C96="Smelter not listed",C96="Smelter not yet identified"),MATCH($B96&amp;$D96,'Smelter Look-up'!$J:$J,0),MATCH($B96&amp;$C96,'Smelter Look-up'!$J:$J,0)))</f>
        <v>174</v>
      </c>
      <c r="X96" s="227">
        <f t="shared" si="13"/>
        <v>0</v>
      </c>
      <c r="AB96" s="228" t="str">
        <f t="shared" si="14"/>
        <v>GoldMetalor Technologies (Suzhou) Ltd.</v>
      </c>
    </row>
    <row r="97" spans="1:28" s="227" customFormat="1" ht="89.25">
      <c r="A97" s="181" t="s">
        <v>703</v>
      </c>
      <c r="B97" s="182" t="s">
        <v>1125</v>
      </c>
      <c r="C97" s="186" t="s">
        <v>2150</v>
      </c>
      <c r="D97" s="230"/>
      <c r="E97" s="182" t="s">
        <v>1096</v>
      </c>
      <c r="F97" s="182" t="s">
        <v>703</v>
      </c>
      <c r="G97" s="182" t="s">
        <v>13240</v>
      </c>
      <c r="H97" s="183">
        <v>0</v>
      </c>
      <c r="I97" s="184" t="s">
        <v>1621</v>
      </c>
      <c r="J97" s="184" t="s">
        <v>15818</v>
      </c>
      <c r="K97" s="224"/>
      <c r="L97" s="224"/>
      <c r="M97" s="224"/>
      <c r="N97" s="224"/>
      <c r="O97" s="224"/>
      <c r="P97" s="185"/>
      <c r="Q97" s="225" t="s">
        <v>15815</v>
      </c>
      <c r="R97" s="182" t="str">
        <f ca="1">IF(ISERROR($V97),"",OFFSET('Smelter Look-up'!$C$4,$V97-4,0)&amp;"")</f>
        <v>Metalor Technologies (Hong Kong) Ltd.</v>
      </c>
      <c r="S97" s="181" t="str">
        <f t="shared" ca="1" si="12"/>
        <v>CN</v>
      </c>
      <c r="T97" s="181" t="str">
        <f ca="1">IF(B97="","",IF(ISERROR(MATCH($J97,SorP!$B$1:$B$6279,0)),"",INDIRECT("'SorP'!$A$"&amp;MATCH($S97&amp;$J97,SorP!C:C,0))))</f>
        <v/>
      </c>
      <c r="U97" s="201"/>
      <c r="V97" s="226">
        <f>IF(C97="",NA(),IF(OR(C97="Smelter not listed",C97="Smelter not yet identified"),MATCH($B97&amp;$D97,'Smelter Look-up'!$J:$J,0),MATCH($B97&amp;$C97,'Smelter Look-up'!$J:$J,0)))</f>
        <v>172</v>
      </c>
      <c r="X97" s="227">
        <f t="shared" si="13"/>
        <v>0</v>
      </c>
      <c r="AB97" s="228" t="str">
        <f t="shared" si="14"/>
        <v>GoldMetalor Technologies (Hong Kong) Ltd.</v>
      </c>
    </row>
    <row r="98" spans="1:28" s="227" customFormat="1" ht="102">
      <c r="A98" s="181" t="s">
        <v>704</v>
      </c>
      <c r="B98" s="182" t="s">
        <v>1125</v>
      </c>
      <c r="C98" s="186" t="s">
        <v>2151</v>
      </c>
      <c r="D98" s="230"/>
      <c r="E98" s="182" t="s">
        <v>882</v>
      </c>
      <c r="F98" s="182" t="s">
        <v>704</v>
      </c>
      <c r="G98" s="182" t="s">
        <v>13240</v>
      </c>
      <c r="H98" s="183">
        <v>0</v>
      </c>
      <c r="I98" s="184" t="s">
        <v>12723</v>
      </c>
      <c r="J98" s="184" t="s">
        <v>10295</v>
      </c>
      <c r="K98" s="224"/>
      <c r="L98" s="224"/>
      <c r="M98" s="224"/>
      <c r="N98" s="224"/>
      <c r="O98" s="224" t="s">
        <v>15912</v>
      </c>
      <c r="P98" s="185" t="s">
        <v>489</v>
      </c>
      <c r="Q98" s="225" t="s">
        <v>15899</v>
      </c>
      <c r="R98" s="182" t="str">
        <f ca="1">IF(ISERROR($V98),"",OFFSET('Smelter Look-up'!$C$4,$V98-4,0)&amp;"")</f>
        <v>Metalor Technologies (Singapore) Pte., Ltd.</v>
      </c>
      <c r="S98" s="181" t="str">
        <f t="shared" ca="1" si="12"/>
        <v>SG</v>
      </c>
      <c r="T98" s="181" t="str">
        <f ca="1">IF(B98="","",IF(ISERROR(MATCH($J98,SorP!$B$1:$B$6279,0)),"",INDIRECT("'SorP'!$A$"&amp;MATCH($S98&amp;$J98,SorP!C:C,0))))</f>
        <v>SG-05</v>
      </c>
      <c r="U98" s="201"/>
      <c r="V98" s="226">
        <f>IF(C98="",NA(),IF(OR(C98="Smelter not listed",C98="Smelter not yet identified"),MATCH($B98&amp;$D98,'Smelter Look-up'!$J:$J,0),MATCH($B98&amp;$C98,'Smelter Look-up'!$J:$J,0)))</f>
        <v>173</v>
      </c>
      <c r="X98" s="227">
        <f t="shared" si="13"/>
        <v>0</v>
      </c>
      <c r="AB98" s="228" t="str">
        <f t="shared" si="14"/>
        <v>GoldMetalor Technologies (Singapore) Pte., Ltd.</v>
      </c>
    </row>
    <row r="99" spans="1:28" s="227" customFormat="1" ht="63.75">
      <c r="A99" s="181" t="s">
        <v>705</v>
      </c>
      <c r="B99" s="182" t="s">
        <v>1125</v>
      </c>
      <c r="C99" s="186" t="s">
        <v>2305</v>
      </c>
      <c r="D99" s="230"/>
      <c r="E99" s="182" t="s">
        <v>1094</v>
      </c>
      <c r="F99" s="182" t="s">
        <v>705</v>
      </c>
      <c r="G99" s="182" t="s">
        <v>13240</v>
      </c>
      <c r="H99" s="183">
        <v>0</v>
      </c>
      <c r="I99" s="184" t="s">
        <v>1622</v>
      </c>
      <c r="J99" s="184" t="s">
        <v>1623</v>
      </c>
      <c r="K99" s="224"/>
      <c r="L99" s="224"/>
      <c r="M99" s="224"/>
      <c r="N99" s="224" t="s">
        <v>15897</v>
      </c>
      <c r="O99" s="224" t="s">
        <v>15898</v>
      </c>
      <c r="P99" s="185" t="s">
        <v>489</v>
      </c>
      <c r="Q99" s="225" t="s">
        <v>15899</v>
      </c>
      <c r="R99" s="182" t="str">
        <f ca="1">IF(ISERROR($V99),"",OFFSET('Smelter Look-up'!$C$4,$V99-4,0)&amp;"")</f>
        <v>Metalor Technologies S.A.</v>
      </c>
      <c r="S99" s="181" t="str">
        <f t="shared" ca="1" si="12"/>
        <v>CH</v>
      </c>
      <c r="T99" s="181" t="str">
        <f ca="1">IF(B99="","",IF(ISERROR(MATCH($J99,SorP!$B$1:$B$6279,0)),"",INDIRECT("'SorP'!$A$"&amp;MATCH($S99&amp;$J99,SorP!C:C,0))))</f>
        <v>CH-NE</v>
      </c>
      <c r="U99" s="201"/>
      <c r="V99" s="226">
        <f>IF(C99="",NA(),IF(OR(C99="Smelter not listed",C99="Smelter not yet identified"),MATCH($B99&amp;$D99,'Smelter Look-up'!$J:$J,0),MATCH($B99&amp;$C99,'Smelter Look-up'!$J:$J,0)))</f>
        <v>175</v>
      </c>
      <c r="X99" s="227">
        <f t="shared" si="13"/>
        <v>0</v>
      </c>
      <c r="AB99" s="228" t="str">
        <f t="shared" si="14"/>
        <v>GoldMetalor Technologies S.A.</v>
      </c>
    </row>
    <row r="100" spans="1:28" s="227" customFormat="1" ht="63.75">
      <c r="A100" s="181" t="s">
        <v>706</v>
      </c>
      <c r="B100" s="182" t="s">
        <v>1125</v>
      </c>
      <c r="C100" s="186" t="s">
        <v>1224</v>
      </c>
      <c r="D100" s="230"/>
      <c r="E100" s="182" t="s">
        <v>2432</v>
      </c>
      <c r="F100" s="182" t="s">
        <v>706</v>
      </c>
      <c r="G100" s="182" t="s">
        <v>13240</v>
      </c>
      <c r="H100" s="183">
        <v>0</v>
      </c>
      <c r="I100" s="184" t="s">
        <v>1624</v>
      </c>
      <c r="J100" s="184" t="s">
        <v>1625</v>
      </c>
      <c r="K100" s="224"/>
      <c r="L100" s="224"/>
      <c r="M100" s="224"/>
      <c r="N100" s="224"/>
      <c r="O100" s="224"/>
      <c r="P100" s="185"/>
      <c r="Q100" s="225" t="s">
        <v>15815</v>
      </c>
      <c r="R100" s="182" t="str">
        <f ca="1">IF(ISERROR($V100),"",OFFSET('Smelter Look-up'!$C$4,$V100-4,0)&amp;"")</f>
        <v>Metalor USA Refining Corporation</v>
      </c>
      <c r="S100" s="181" t="str">
        <f t="shared" ca="1" si="12"/>
        <v>US</v>
      </c>
      <c r="T100" s="181" t="str">
        <f ca="1">IF(B100="","",IF(ISERROR(MATCH($J100,SorP!$B$1:$B$6279,0)),"",INDIRECT("'SorP'!$A$"&amp;MATCH($S100&amp;$J100,SorP!C:C,0))))</f>
        <v>US-MA</v>
      </c>
      <c r="U100" s="201"/>
      <c r="V100" s="226">
        <f>IF(C100="",NA(),IF(OR(C100="Smelter not listed",C100="Smelter not yet identified"),MATCH($B100&amp;$D100,'Smelter Look-up'!$J:$J,0),MATCH($B100&amp;$C100,'Smelter Look-up'!$J:$J,0)))</f>
        <v>176</v>
      </c>
      <c r="X100" s="227">
        <f t="shared" si="13"/>
        <v>0</v>
      </c>
      <c r="AB100" s="228" t="str">
        <f t="shared" si="14"/>
        <v>GoldMetalor USA Refining Corporation</v>
      </c>
    </row>
    <row r="101" spans="1:28" s="227" customFormat="1" ht="89.25">
      <c r="A101" s="181" t="s">
        <v>707</v>
      </c>
      <c r="B101" s="182" t="s">
        <v>1125</v>
      </c>
      <c r="C101" s="186" t="s">
        <v>12429</v>
      </c>
      <c r="D101" s="230"/>
      <c r="E101" s="182" t="s">
        <v>1109</v>
      </c>
      <c r="F101" s="182" t="s">
        <v>707</v>
      </c>
      <c r="G101" s="182" t="s">
        <v>13240</v>
      </c>
      <c r="H101" s="183">
        <v>0</v>
      </c>
      <c r="I101" s="184" t="s">
        <v>1626</v>
      </c>
      <c r="J101" s="184" t="s">
        <v>12885</v>
      </c>
      <c r="K101" s="224"/>
      <c r="L101" s="224"/>
      <c r="M101" s="224"/>
      <c r="N101" s="224"/>
      <c r="O101" s="224"/>
      <c r="P101" s="185"/>
      <c r="Q101" s="225" t="s">
        <v>15815</v>
      </c>
      <c r="R101" s="182" t="str">
        <f ca="1">IF(ISERROR($V101),"",OFFSET('Smelter Look-up'!$C$4,$V101-4,0)&amp;"")</f>
        <v>Metalurgica Met-Mex Penoles S.A. De C.V.</v>
      </c>
      <c r="S101" s="181" t="str">
        <f t="shared" ca="1" si="12"/>
        <v>MX</v>
      </c>
      <c r="T101" s="181" t="str">
        <f ca="1">IF(B101="","",IF(ISERROR(MATCH($J101,SorP!$B$1:$B$6279,0)),"",INDIRECT("'SorP'!$A$"&amp;MATCH($S101&amp;$J101,SorP!C:C,0))))</f>
        <v>MX-COA</v>
      </c>
      <c r="U101" s="201"/>
      <c r="V101" s="226">
        <f>IF(C101="",NA(),IF(OR(C101="Smelter not listed",C101="Smelter not yet identified"),MATCH($B101&amp;$D101,'Smelter Look-up'!$J:$J,0),MATCH($B101&amp;$C101,'Smelter Look-up'!$J:$J,0)))</f>
        <v>177</v>
      </c>
      <c r="X101" s="227">
        <f t="shared" si="13"/>
        <v>0</v>
      </c>
      <c r="AB101" s="228" t="str">
        <f t="shared" si="14"/>
        <v>GoldMetalurgica Met-Mex Penoles S.A. De C.V.</v>
      </c>
    </row>
    <row r="102" spans="1:28" s="227" customFormat="1" ht="89.25">
      <c r="A102" s="181" t="s">
        <v>752</v>
      </c>
      <c r="B102" s="182" t="s">
        <v>1127</v>
      </c>
      <c r="C102" s="186" t="s">
        <v>2152</v>
      </c>
      <c r="D102" s="230"/>
      <c r="E102" s="182" t="s">
        <v>1102</v>
      </c>
      <c r="F102" s="182" t="s">
        <v>752</v>
      </c>
      <c r="G102" s="182" t="s">
        <v>13240</v>
      </c>
      <c r="H102" s="183">
        <v>0</v>
      </c>
      <c r="I102" s="184" t="s">
        <v>1722</v>
      </c>
      <c r="J102" s="184" t="s">
        <v>15836</v>
      </c>
      <c r="K102" s="224"/>
      <c r="L102" s="224"/>
      <c r="M102" s="224"/>
      <c r="N102" s="224"/>
      <c r="O102" s="224"/>
      <c r="P102" s="185"/>
      <c r="Q102" s="225" t="s">
        <v>15815</v>
      </c>
      <c r="R102" s="182" t="str">
        <f ca="1">IF(ISERROR($V102),"",OFFSET('Smelter Look-up'!$C$4,$V102-4,0)&amp;"")</f>
        <v>Metallurgical Products India Pvt., Ltd.</v>
      </c>
      <c r="S102" s="181" t="str">
        <f t="shared" ref="S102:S132" ca="1" si="15">IF(B102="","",IF(ISERROR(MATCH($E102,CL,0)),"Unknown",INDIRECT("'C'!$A$"&amp;MATCH($E102,CL,0)+1)))</f>
        <v>IN</v>
      </c>
      <c r="T102" s="181" t="str">
        <f ca="1">IF(B102="","",IF(ISERROR(MATCH($J102,SorP!$B$1:$B$6279,0)),"",INDIRECT("'SorP'!$A$"&amp;MATCH($S102&amp;$J102,SorP!C:C,0))))</f>
        <v/>
      </c>
      <c r="U102" s="201"/>
      <c r="V102" s="226">
        <f>IF(C102="",NA(),IF(OR(C102="Smelter not listed",C102="Smelter not yet identified"),MATCH($B102&amp;$D102,'Smelter Look-up'!$J:$J,0),MATCH($B102&amp;$C102,'Smelter Look-up'!$J:$J,0)))</f>
        <v>350</v>
      </c>
      <c r="X102" s="227">
        <f t="shared" ref="X102:X132" si="16">IF(AND(C102="Smelter not listed",OR(LEN(D102)=0,LEN(E102)=0)),1,0)</f>
        <v>0</v>
      </c>
      <c r="AB102" s="228" t="str">
        <f t="shared" ref="AB102:AB132" si="17">B102&amp;C102</f>
        <v>TantalumMetallurgical Products India Pvt., Ltd.</v>
      </c>
    </row>
    <row r="103" spans="1:28" s="227" customFormat="1" ht="51">
      <c r="A103" s="181" t="s">
        <v>772</v>
      </c>
      <c r="B103" s="182" t="s">
        <v>1126</v>
      </c>
      <c r="C103" s="186" t="s">
        <v>12430</v>
      </c>
      <c r="D103" s="230"/>
      <c r="E103" s="182" t="s">
        <v>1092</v>
      </c>
      <c r="F103" s="182" t="s">
        <v>772</v>
      </c>
      <c r="G103" s="182" t="s">
        <v>13240</v>
      </c>
      <c r="H103" s="183">
        <v>0</v>
      </c>
      <c r="I103" s="184" t="s">
        <v>1783</v>
      </c>
      <c r="J103" s="184" t="s">
        <v>1674</v>
      </c>
      <c r="K103" s="224"/>
      <c r="L103" s="224"/>
      <c r="M103" s="224"/>
      <c r="N103" s="224"/>
      <c r="O103" s="224"/>
      <c r="P103" s="185"/>
      <c r="Q103" s="225" t="s">
        <v>15815</v>
      </c>
      <c r="R103" s="182" t="str">
        <f ca="1">IF(ISERROR($V103),"",OFFSET('Smelter Look-up'!$C$4,$V103-4,0)&amp;"")</f>
        <v>Mineracao Taboca S.A.</v>
      </c>
      <c r="S103" s="181" t="str">
        <f t="shared" ca="1" si="15"/>
        <v>BR</v>
      </c>
      <c r="T103" s="181" t="str">
        <f ca="1">IF(B103="","",IF(ISERROR(MATCH($J103,SorP!$B$1:$B$6279,0)),"",INDIRECT("'SorP'!$A$"&amp;MATCH($S103&amp;$J103,SorP!C:C,0))))</f>
        <v>BR-SP</v>
      </c>
      <c r="U103" s="201"/>
      <c r="V103" s="226">
        <f>IF(C103="",NA(),IF(OR(C103="Smelter not listed",C103="Smelter not yet identified"),MATCH($B103&amp;$D103,'Smelter Look-up'!$J:$J,0),MATCH($B103&amp;$C103,'Smelter Look-up'!$J:$J,0)))</f>
        <v>465</v>
      </c>
      <c r="X103" s="227">
        <f t="shared" si="16"/>
        <v>0</v>
      </c>
      <c r="AB103" s="228" t="str">
        <f t="shared" si="17"/>
        <v>TinMineracao Taboca S.A.</v>
      </c>
    </row>
    <row r="104" spans="1:28" s="227" customFormat="1" ht="63.75">
      <c r="A104" s="181" t="s">
        <v>753</v>
      </c>
      <c r="B104" s="182" t="s">
        <v>1127</v>
      </c>
      <c r="C104" s="186" t="s">
        <v>12430</v>
      </c>
      <c r="D104" s="230"/>
      <c r="E104" s="182" t="s">
        <v>1092</v>
      </c>
      <c r="F104" s="182" t="s">
        <v>753</v>
      </c>
      <c r="G104" s="182" t="s">
        <v>13240</v>
      </c>
      <c r="H104" s="183">
        <v>0</v>
      </c>
      <c r="I104" s="184" t="s">
        <v>1724</v>
      </c>
      <c r="J104" s="184" t="s">
        <v>1725</v>
      </c>
      <c r="K104" s="224"/>
      <c r="L104" s="224"/>
      <c r="M104" s="224"/>
      <c r="N104" s="224"/>
      <c r="O104" s="224"/>
      <c r="P104" s="185"/>
      <c r="Q104" s="225" t="s">
        <v>15815</v>
      </c>
      <c r="R104" s="182" t="str">
        <f ca="1">IF(ISERROR($V104),"",OFFSET('Smelter Look-up'!$C$4,$V104-4,0)&amp;"")</f>
        <v>Mineracao Taboca S.A.</v>
      </c>
      <c r="S104" s="181" t="str">
        <f t="shared" ca="1" si="15"/>
        <v>BR</v>
      </c>
      <c r="T104" s="181" t="str">
        <f ca="1">IF(B104="","",IF(ISERROR(MATCH($J104,SorP!$B$1:$B$6279,0)),"",INDIRECT("'SorP'!$A$"&amp;MATCH($S104&amp;$J104,SorP!C:C,0))))</f>
        <v>BR-AM</v>
      </c>
      <c r="U104" s="201"/>
      <c r="V104" s="226">
        <f>IF(C104="",NA(),IF(OR(C104="Smelter not listed",C104="Smelter not yet identified"),MATCH($B104&amp;$D104,'Smelter Look-up'!$J:$J,0),MATCH($B104&amp;$C104,'Smelter Look-up'!$J:$J,0)))</f>
        <v>351</v>
      </c>
      <c r="X104" s="227">
        <f t="shared" si="16"/>
        <v>0</v>
      </c>
      <c r="AB104" s="228" t="str">
        <f t="shared" si="17"/>
        <v>TantalumMineracao Taboca S.A.</v>
      </c>
    </row>
    <row r="105" spans="1:28" s="227" customFormat="1" ht="25.5">
      <c r="A105" s="181" t="s">
        <v>773</v>
      </c>
      <c r="B105" s="182" t="s">
        <v>1126</v>
      </c>
      <c r="C105" s="186" t="s">
        <v>1030</v>
      </c>
      <c r="D105" s="230"/>
      <c r="E105" s="182" t="s">
        <v>876</v>
      </c>
      <c r="F105" s="182" t="s">
        <v>773</v>
      </c>
      <c r="G105" s="182" t="s">
        <v>13240</v>
      </c>
      <c r="H105" s="183">
        <v>0</v>
      </c>
      <c r="I105" s="184" t="s">
        <v>1785</v>
      </c>
      <c r="J105" s="184" t="s">
        <v>9115</v>
      </c>
      <c r="K105" s="224"/>
      <c r="L105" s="224"/>
      <c r="M105" s="224"/>
      <c r="N105" s="224"/>
      <c r="O105" s="224"/>
      <c r="P105" s="185"/>
      <c r="Q105" s="225" t="s">
        <v>15815</v>
      </c>
      <c r="R105" s="182" t="str">
        <f ca="1">IF(ISERROR($V105),"",OFFSET('Smelter Look-up'!$C$4,$V105-4,0)&amp;"")</f>
        <v>Minsur</v>
      </c>
      <c r="S105" s="181" t="str">
        <f t="shared" ca="1" si="15"/>
        <v>PE</v>
      </c>
      <c r="T105" s="181" t="str">
        <f ca="1">IF(B105="","",IF(ISERROR(MATCH($J105,SorP!$B$1:$B$6279,0)),"",INDIRECT("'SorP'!$A$"&amp;MATCH($S105&amp;$J105,SorP!C:C,0))))</f>
        <v>PE-ICA</v>
      </c>
      <c r="U105" s="201"/>
      <c r="V105" s="226">
        <f>IF(C105="",NA(),IF(OR(C105="Smelter not listed",C105="Smelter not yet identified"),MATCH($B105&amp;$D105,'Smelter Look-up'!$J:$J,0),MATCH($B105&amp;$C105,'Smelter Look-up'!$J:$J,0)))</f>
        <v>470</v>
      </c>
      <c r="X105" s="227">
        <f t="shared" si="16"/>
        <v>0</v>
      </c>
      <c r="AB105" s="228" t="str">
        <f t="shared" si="17"/>
        <v>TinMinsur</v>
      </c>
    </row>
    <row r="106" spans="1:28" s="227" customFormat="1" ht="76.5">
      <c r="A106" s="181" t="s">
        <v>708</v>
      </c>
      <c r="B106" s="182" t="s">
        <v>1125</v>
      </c>
      <c r="C106" s="186" t="s">
        <v>1159</v>
      </c>
      <c r="D106" s="230"/>
      <c r="E106" s="182" t="s">
        <v>1104</v>
      </c>
      <c r="F106" s="182" t="s">
        <v>708</v>
      </c>
      <c r="G106" s="182" t="s">
        <v>13240</v>
      </c>
      <c r="H106" s="183">
        <v>0</v>
      </c>
      <c r="I106" s="184" t="s">
        <v>15819</v>
      </c>
      <c r="J106" s="184" t="s">
        <v>2211</v>
      </c>
      <c r="K106" s="224"/>
      <c r="L106" s="224"/>
      <c r="M106" s="224"/>
      <c r="N106" s="224"/>
      <c r="O106" s="224"/>
      <c r="P106" s="185"/>
      <c r="Q106" s="225" t="s">
        <v>15815</v>
      </c>
      <c r="R106" s="182" t="str">
        <f ca="1">IF(ISERROR($V106),"",OFFSET('Smelter Look-up'!$C$4,$V106-4,0)&amp;"")</f>
        <v>Mitsubishi Materials Corporation</v>
      </c>
      <c r="S106" s="181" t="str">
        <f t="shared" ca="1" si="15"/>
        <v>JP</v>
      </c>
      <c r="T106" s="181" t="str">
        <f ca="1">IF(B106="","",IF(ISERROR(MATCH($J106,SorP!$B$1:$B$6279,0)),"",INDIRECT("'SorP'!$A$"&amp;MATCH($S106&amp;$J106,SorP!C:C,0))))</f>
        <v>JP-37</v>
      </c>
      <c r="U106" s="201"/>
      <c r="V106" s="226">
        <f>IF(C106="",NA(),IF(OR(C106="Smelter not listed",C106="Smelter not yet identified"),MATCH($B106&amp;$D106,'Smelter Look-up'!$J:$J,0),MATCH($B106&amp;$C106,'Smelter Look-up'!$J:$J,0)))</f>
        <v>181</v>
      </c>
      <c r="X106" s="227">
        <f t="shared" si="16"/>
        <v>0</v>
      </c>
      <c r="AB106" s="228" t="str">
        <f t="shared" si="17"/>
        <v>GoldMitsubishi Materials Corporation</v>
      </c>
    </row>
    <row r="107" spans="1:28" s="227" customFormat="1" ht="76.5">
      <c r="A107" s="181" t="s">
        <v>774</v>
      </c>
      <c r="B107" s="182" t="s">
        <v>1126</v>
      </c>
      <c r="C107" s="186" t="s">
        <v>1159</v>
      </c>
      <c r="D107" s="230"/>
      <c r="E107" s="182" t="s">
        <v>1104</v>
      </c>
      <c r="F107" s="182" t="s">
        <v>774</v>
      </c>
      <c r="G107" s="182" t="s">
        <v>13240</v>
      </c>
      <c r="H107" s="183">
        <v>0</v>
      </c>
      <c r="I107" s="184" t="s">
        <v>1541</v>
      </c>
      <c r="J107" s="184" t="s">
        <v>1541</v>
      </c>
      <c r="K107" s="224"/>
      <c r="L107" s="224"/>
      <c r="M107" s="224"/>
      <c r="N107" s="224" t="s">
        <v>15897</v>
      </c>
      <c r="O107" s="224" t="s">
        <v>15897</v>
      </c>
      <c r="P107" s="185" t="s">
        <v>488</v>
      </c>
      <c r="Q107" s="225" t="s">
        <v>15913</v>
      </c>
      <c r="R107" s="182" t="str">
        <f ca="1">IF(ISERROR($V107),"",OFFSET('Smelter Look-up'!$C$4,$V107-4,0)&amp;"")</f>
        <v>Mitsubishi Materials Corporation</v>
      </c>
      <c r="S107" s="181" t="str">
        <f t="shared" ca="1" si="15"/>
        <v>JP</v>
      </c>
      <c r="T107" s="181" t="str">
        <f ca="1">IF(B107="","",IF(ISERROR(MATCH($J107,SorP!$B$1:$B$6279,0)),"",INDIRECT("'SorP'!$A$"&amp;MATCH($S107&amp;$J107,SorP!C:C,0))))</f>
        <v>JP-13</v>
      </c>
      <c r="U107" s="201"/>
      <c r="V107" s="226">
        <f>IF(C107="",NA(),IF(OR(C107="Smelter not listed",C107="Smelter not yet identified"),MATCH($B107&amp;$D107,'Smelter Look-up'!$J:$J,0),MATCH($B107&amp;$C107,'Smelter Look-up'!$J:$J,0)))</f>
        <v>471</v>
      </c>
      <c r="X107" s="227">
        <f t="shared" si="16"/>
        <v>0</v>
      </c>
      <c r="AB107" s="228" t="str">
        <f t="shared" si="17"/>
        <v>TinMitsubishi Materials Corporation</v>
      </c>
    </row>
    <row r="108" spans="1:28" s="227" customFormat="1" ht="89.25">
      <c r="A108" s="181" t="s">
        <v>754</v>
      </c>
      <c r="B108" s="182" t="s">
        <v>1127</v>
      </c>
      <c r="C108" s="186" t="s">
        <v>1225</v>
      </c>
      <c r="D108" s="230"/>
      <c r="E108" s="182" t="s">
        <v>1104</v>
      </c>
      <c r="F108" s="182" t="s">
        <v>754</v>
      </c>
      <c r="G108" s="182" t="s">
        <v>13240</v>
      </c>
      <c r="H108" s="183">
        <v>0</v>
      </c>
      <c r="I108" s="184" t="s">
        <v>1726</v>
      </c>
      <c r="J108" s="184" t="s">
        <v>1727</v>
      </c>
      <c r="K108" s="224"/>
      <c r="L108" s="224"/>
      <c r="M108" s="224"/>
      <c r="N108" s="224"/>
      <c r="O108" s="224" t="s">
        <v>15912</v>
      </c>
      <c r="P108" s="185" t="s">
        <v>489</v>
      </c>
      <c r="Q108" s="225" t="s">
        <v>15930</v>
      </c>
      <c r="R108" s="182" t="str">
        <f ca="1">IF(ISERROR($V108),"",OFFSET('Smelter Look-up'!$C$4,$V108-4,0)&amp;"")</f>
        <v>Mitsui Mining and Smelting Co., Ltd.</v>
      </c>
      <c r="S108" s="181" t="str">
        <f t="shared" ca="1" si="15"/>
        <v>JP</v>
      </c>
      <c r="T108" s="181" t="str">
        <f ca="1">IF(B108="","",IF(ISERROR(MATCH($J108,SorP!$B$1:$B$6279,0)),"",INDIRECT("'SorP'!$A$"&amp;MATCH($S108&amp;$J108,SorP!C:C,0))))</f>
        <v>JP-40</v>
      </c>
      <c r="U108" s="201"/>
      <c r="V108" s="226">
        <f>IF(C108="",NA(),IF(OR(C108="Smelter not listed",C108="Smelter not yet identified"),MATCH($B108&amp;$D108,'Smelter Look-up'!$J:$J,0),MATCH($B108&amp;$C108,'Smelter Look-up'!$J:$J,0)))</f>
        <v>355</v>
      </c>
      <c r="X108" s="227">
        <f t="shared" si="16"/>
        <v>0</v>
      </c>
      <c r="AB108" s="228" t="str">
        <f t="shared" si="17"/>
        <v>TantalumMitsui Mining and Smelting Co., Ltd.</v>
      </c>
    </row>
    <row r="109" spans="1:28" s="227" customFormat="1" ht="89.25">
      <c r="A109" s="181" t="s">
        <v>709</v>
      </c>
      <c r="B109" s="182" t="s">
        <v>1125</v>
      </c>
      <c r="C109" s="186" t="s">
        <v>1225</v>
      </c>
      <c r="D109" s="230"/>
      <c r="E109" s="182" t="s">
        <v>1104</v>
      </c>
      <c r="F109" s="182" t="s">
        <v>709</v>
      </c>
      <c r="G109" s="182" t="s">
        <v>13240</v>
      </c>
      <c r="H109" s="183">
        <v>0</v>
      </c>
      <c r="I109" s="184" t="s">
        <v>1628</v>
      </c>
      <c r="J109" s="184" t="s">
        <v>1627</v>
      </c>
      <c r="K109" s="224"/>
      <c r="L109" s="224"/>
      <c r="M109" s="224"/>
      <c r="N109" s="224" t="s">
        <v>15897</v>
      </c>
      <c r="O109" s="224" t="s">
        <v>15897</v>
      </c>
      <c r="P109" s="185" t="s">
        <v>488</v>
      </c>
      <c r="Q109" s="225" t="s">
        <v>15899</v>
      </c>
      <c r="R109" s="182" t="str">
        <f ca="1">IF(ISERROR($V109),"",OFFSET('Smelter Look-up'!$C$4,$V109-4,0)&amp;"")</f>
        <v>Mitsui Mining and Smelting Co., Ltd.</v>
      </c>
      <c r="S109" s="181" t="str">
        <f t="shared" ca="1" si="15"/>
        <v>JP</v>
      </c>
      <c r="T109" s="181" t="str">
        <f ca="1">IF(B109="","",IF(ISERROR(MATCH($J109,SorP!$B$1:$B$6279,0)),"",INDIRECT("'SorP'!$A$"&amp;MATCH($S109&amp;$J109,SorP!C:C,0))))</f>
        <v>JP-34</v>
      </c>
      <c r="U109" s="201"/>
      <c r="V109" s="226">
        <f>IF(C109="",NA(),IF(OR(C109="Smelter not listed",C109="Smelter not yet identified"),MATCH($B109&amp;$D109,'Smelter Look-up'!$J:$J,0),MATCH($B109&amp;$C109,'Smelter Look-up'!$J:$J,0)))</f>
        <v>183</v>
      </c>
      <c r="X109" s="227">
        <f t="shared" si="16"/>
        <v>0</v>
      </c>
      <c r="AB109" s="228" t="str">
        <f t="shared" si="17"/>
        <v>GoldMitsui Mining and Smelting Co., Ltd.</v>
      </c>
    </row>
    <row r="110" spans="1:28" s="227" customFormat="1" ht="51">
      <c r="A110" s="181" t="s">
        <v>755</v>
      </c>
      <c r="B110" s="182" t="s">
        <v>1127</v>
      </c>
      <c r="C110" s="186" t="s">
        <v>2526</v>
      </c>
      <c r="D110" s="230"/>
      <c r="E110" s="182" t="s">
        <v>1099</v>
      </c>
      <c r="F110" s="182" t="s">
        <v>755</v>
      </c>
      <c r="G110" s="182" t="s">
        <v>13240</v>
      </c>
      <c r="H110" s="183">
        <v>0</v>
      </c>
      <c r="I110" s="184" t="s">
        <v>1728</v>
      </c>
      <c r="J110" s="184" t="s">
        <v>1729</v>
      </c>
      <c r="K110" s="224"/>
      <c r="L110" s="224"/>
      <c r="M110" s="224"/>
      <c r="N110" s="224"/>
      <c r="O110" s="224"/>
      <c r="P110" s="185"/>
      <c r="Q110" s="225" t="s">
        <v>15815</v>
      </c>
      <c r="R110" s="182" t="str">
        <f ca="1">IF(ISERROR($V110),"",OFFSET('Smelter Look-up'!$C$4,$V110-4,0)&amp;"")</f>
        <v>NPM Silmet AS</v>
      </c>
      <c r="S110" s="181" t="str">
        <f t="shared" ca="1" si="15"/>
        <v>EE</v>
      </c>
      <c r="T110" s="181" t="str">
        <f ca="1">IF(B110="","",IF(ISERROR(MATCH($J110,SorP!$B$1:$B$6279,0)),"",INDIRECT("'SorP'!$A$"&amp;MATCH($S110&amp;$J110,SorP!C:C,0))))</f>
        <v>EE-45</v>
      </c>
      <c r="U110" s="201"/>
      <c r="V110" s="226">
        <f>IF(C110="",NA(),IF(OR(C110="Smelter not listed",C110="Smelter not yet identified"),MATCH($B110&amp;$D110,'Smelter Look-up'!$J:$J,0),MATCH($B110&amp;$C110,'Smelter Look-up'!$J:$J,0)))</f>
        <v>359</v>
      </c>
      <c r="X110" s="227">
        <f t="shared" si="16"/>
        <v>0</v>
      </c>
      <c r="AB110" s="228" t="str">
        <f t="shared" si="17"/>
        <v>TantalumNPM Silmet AS</v>
      </c>
    </row>
    <row r="111" spans="1:28" s="227" customFormat="1" ht="76.5">
      <c r="A111" s="181" t="s">
        <v>710</v>
      </c>
      <c r="B111" s="182" t="s">
        <v>1125</v>
      </c>
      <c r="C111" s="186" t="s">
        <v>907</v>
      </c>
      <c r="D111" s="230"/>
      <c r="E111" s="182" t="s">
        <v>879</v>
      </c>
      <c r="F111" s="182" t="s">
        <v>710</v>
      </c>
      <c r="G111" s="182" t="s">
        <v>13240</v>
      </c>
      <c r="H111" s="183">
        <v>0</v>
      </c>
      <c r="I111" s="184" t="s">
        <v>1630</v>
      </c>
      <c r="J111" s="184" t="s">
        <v>9892</v>
      </c>
      <c r="K111" s="224"/>
      <c r="L111" s="224"/>
      <c r="M111" s="224"/>
      <c r="N111" s="224"/>
      <c r="O111" s="224"/>
      <c r="P111" s="185"/>
      <c r="Q111" s="225" t="s">
        <v>15815</v>
      </c>
      <c r="R111" s="182" t="str">
        <f ca="1">IF(ISERROR($V111),"",OFFSET('Smelter Look-up'!$C$4,$V111-4,0)&amp;"")</f>
        <v>Moscow Special Alloys Processing Plant</v>
      </c>
      <c r="S111" s="181" t="str">
        <f t="shared" ca="1" si="15"/>
        <v>RU</v>
      </c>
      <c r="T111" s="181" t="str">
        <f ca="1">IF(B111="","",IF(ISERROR(MATCH($J111,SorP!$B$1:$B$6279,0)),"",INDIRECT("'SorP'!$A$"&amp;MATCH($S111&amp;$J111,SorP!C:C,0))))</f>
        <v>RU-MOW</v>
      </c>
      <c r="U111" s="201"/>
      <c r="V111" s="226">
        <f>IF(C111="",NA(),IF(OR(C111="Smelter not listed",C111="Smelter not yet identified"),MATCH($B111&amp;$D111,'Smelter Look-up'!$J:$J,0),MATCH($B111&amp;$C111,'Smelter Look-up'!$J:$J,0)))</f>
        <v>188</v>
      </c>
      <c r="X111" s="227">
        <f t="shared" si="16"/>
        <v>0</v>
      </c>
      <c r="AB111" s="228" t="str">
        <f t="shared" si="17"/>
        <v>GoldMoscow Special Alloys Processing Plant</v>
      </c>
    </row>
    <row r="112" spans="1:28" s="227" customFormat="1" ht="76.5">
      <c r="A112" s="181" t="s">
        <v>711</v>
      </c>
      <c r="B112" s="182" t="s">
        <v>1125</v>
      </c>
      <c r="C112" s="186" t="s">
        <v>12431</v>
      </c>
      <c r="D112" s="230"/>
      <c r="E112" s="182" t="s">
        <v>885</v>
      </c>
      <c r="F112" s="182" t="s">
        <v>711</v>
      </c>
      <c r="G112" s="182" t="s">
        <v>13240</v>
      </c>
      <c r="H112" s="183">
        <v>0</v>
      </c>
      <c r="I112" s="184" t="s">
        <v>1631</v>
      </c>
      <c r="J112" s="184" t="s">
        <v>11268</v>
      </c>
      <c r="K112" s="224"/>
      <c r="L112" s="224"/>
      <c r="M112" s="224"/>
      <c r="N112" s="224"/>
      <c r="O112" s="224"/>
      <c r="P112" s="185"/>
      <c r="Q112" s="225" t="s">
        <v>15815</v>
      </c>
      <c r="R112" s="182" t="str">
        <f ca="1">IF(ISERROR($V112),"",OFFSET('Smelter Look-up'!$C$4,$V112-4,0)&amp;"")</f>
        <v>Nadir Metal Rafineri San. Ve Tic. A.S.</v>
      </c>
      <c r="S112" s="181" t="str">
        <f t="shared" ca="1" si="15"/>
        <v>TR</v>
      </c>
      <c r="T112" s="181" t="str">
        <f ca="1">IF(B112="","",IF(ISERROR(MATCH($J112,SorP!$B$1:$B$6279,0)),"",INDIRECT("'SorP'!$A$"&amp;MATCH($S112&amp;$J112,SorP!C:C,0))))</f>
        <v>TR-34</v>
      </c>
      <c r="U112" s="201"/>
      <c r="V112" s="226">
        <f>IF(C112="",NA(),IF(OR(C112="Smelter not listed",C112="Smelter not yet identified"),MATCH($B112&amp;$D112,'Smelter Look-up'!$J:$J,0),MATCH($B112&amp;$C112,'Smelter Look-up'!$J:$J,0)))</f>
        <v>189</v>
      </c>
      <c r="X112" s="227">
        <f t="shared" si="16"/>
        <v>0</v>
      </c>
      <c r="AB112" s="228" t="str">
        <f t="shared" si="17"/>
        <v>GoldNadir Metal Rafineri San. Ve Tic. A.S.</v>
      </c>
    </row>
    <row r="113" spans="1:28" s="227" customFormat="1" ht="63.75">
      <c r="A113" s="181" t="s">
        <v>1788</v>
      </c>
      <c r="B113" s="182" t="s">
        <v>1126</v>
      </c>
      <c r="C113" s="186" t="s">
        <v>13181</v>
      </c>
      <c r="D113" s="230"/>
      <c r="E113" s="182" t="s">
        <v>1096</v>
      </c>
      <c r="F113" s="182" t="s">
        <v>1788</v>
      </c>
      <c r="G113" s="182" t="s">
        <v>13240</v>
      </c>
      <c r="H113" s="183">
        <v>0</v>
      </c>
      <c r="I113" s="184" t="s">
        <v>1773</v>
      </c>
      <c r="J113" s="184" t="s">
        <v>13619</v>
      </c>
      <c r="K113" s="224"/>
      <c r="L113" s="224"/>
      <c r="M113" s="224"/>
      <c r="N113" s="224"/>
      <c r="O113" s="224"/>
      <c r="P113" s="185"/>
      <c r="Q113" s="225" t="s">
        <v>15815</v>
      </c>
      <c r="R113" s="182" t="str">
        <f ca="1">IF(ISERROR($V113),"",OFFSET('Smelter Look-up'!$C$4,$V113-4,0)&amp;"")</f>
        <v>Jiangxi New Nanshan Technology Ltd.</v>
      </c>
      <c r="S113" s="181" t="str">
        <f t="shared" ca="1" si="15"/>
        <v>CN</v>
      </c>
      <c r="T113" s="181" t="str">
        <f ca="1">IF(B113="","",IF(ISERROR(MATCH($J113,SorP!$B$1:$B$6279,0)),"",INDIRECT("'SorP'!$A$"&amp;MATCH($S113&amp;$J113,SorP!C:C,0))))</f>
        <v>CN-JX</v>
      </c>
      <c r="U113" s="201"/>
      <c r="V113" s="226">
        <f>IF(C113="",NA(),IF(OR(C113="Smelter not listed",C113="Smelter not yet identified"),MATCH($B113&amp;$D113,'Smelter Look-up'!$J:$J,0),MATCH($B113&amp;$C113,'Smelter Look-up'!$J:$J,0)))</f>
        <v>450</v>
      </c>
      <c r="X113" s="227">
        <f t="shared" si="16"/>
        <v>0</v>
      </c>
      <c r="AB113" s="228" t="str">
        <f t="shared" si="17"/>
        <v>TinJiangxi New Nanshan Technology Ltd.</v>
      </c>
    </row>
    <row r="114" spans="1:28" s="227" customFormat="1" ht="102">
      <c r="A114" s="181" t="s">
        <v>712</v>
      </c>
      <c r="B114" s="182" t="s">
        <v>1125</v>
      </c>
      <c r="C114" s="186" t="s">
        <v>1226</v>
      </c>
      <c r="D114" s="230"/>
      <c r="E114" s="182" t="s">
        <v>887</v>
      </c>
      <c r="F114" s="182" t="s">
        <v>712</v>
      </c>
      <c r="G114" s="182" t="s">
        <v>13240</v>
      </c>
      <c r="H114" s="183" t="s">
        <v>15802</v>
      </c>
      <c r="I114" s="184" t="s">
        <v>1632</v>
      </c>
      <c r="J114" s="184" t="s">
        <v>12019</v>
      </c>
      <c r="K114" s="224" t="s">
        <v>15802</v>
      </c>
      <c r="L114" s="224" t="s">
        <v>15802</v>
      </c>
      <c r="M114" s="224" t="s">
        <v>15893</v>
      </c>
      <c r="N114" s="224" t="s">
        <v>15802</v>
      </c>
      <c r="O114" s="224" t="s">
        <v>490</v>
      </c>
      <c r="P114" s="185" t="s">
        <v>15802</v>
      </c>
      <c r="Q114" s="225" t="s">
        <v>15802</v>
      </c>
      <c r="R114" s="182" t="str">
        <f ca="1">IF(ISERROR($V114),"",OFFSET('Smelter Look-up'!$C$4,$V114-4,0)&amp;"")</f>
        <v>Navoi Mining and Metallurgical Combinat</v>
      </c>
      <c r="S114" s="181" t="str">
        <f t="shared" ca="1" si="15"/>
        <v>UZ</v>
      </c>
      <c r="T114" s="181" t="str">
        <f ca="1">IF(B114="","",IF(ISERROR(MATCH($J114,SorP!$B$1:$B$6279,0)),"",INDIRECT("'SorP'!$A$"&amp;MATCH($S114&amp;$J114,SorP!C:C,0))))</f>
        <v>UZ-NW</v>
      </c>
      <c r="U114" s="201"/>
      <c r="V114" s="226">
        <f>IF(C114="",NA(),IF(OR(C114="Smelter not listed",C114="Smelter not yet identified"),MATCH($B114&amp;$D114,'Smelter Look-up'!$J:$J,0),MATCH($B114&amp;$C114,'Smelter Look-up'!$J:$J,0)))</f>
        <v>191</v>
      </c>
      <c r="X114" s="227">
        <f t="shared" si="16"/>
        <v>0</v>
      </c>
      <c r="AB114" s="228" t="str">
        <f t="shared" si="17"/>
        <v>GoldNavoi Mining and Metallurgical Combinat</v>
      </c>
    </row>
    <row r="115" spans="1:28" s="227" customFormat="1" ht="63.75">
      <c r="A115" s="181" t="s">
        <v>713</v>
      </c>
      <c r="B115" s="182" t="s">
        <v>1125</v>
      </c>
      <c r="C115" s="186" t="s">
        <v>2154</v>
      </c>
      <c r="D115" s="230"/>
      <c r="E115" s="182" t="s">
        <v>1104</v>
      </c>
      <c r="F115" s="182" t="s">
        <v>713</v>
      </c>
      <c r="G115" s="182" t="s">
        <v>13240</v>
      </c>
      <c r="H115" s="183">
        <v>0</v>
      </c>
      <c r="I115" s="184" t="s">
        <v>1633</v>
      </c>
      <c r="J115" s="184" t="s">
        <v>1634</v>
      </c>
      <c r="K115" s="224"/>
      <c r="L115" s="224"/>
      <c r="M115" s="224"/>
      <c r="N115" s="224"/>
      <c r="O115" s="224"/>
      <c r="P115" s="185"/>
      <c r="Q115" s="225" t="s">
        <v>15815</v>
      </c>
      <c r="R115" s="182" t="str">
        <f ca="1">IF(ISERROR($V115),"",OFFSET('Smelter Look-up'!$C$4,$V115-4,0)&amp;"")</f>
        <v>Nihon Material Co., Ltd.</v>
      </c>
      <c r="S115" s="181" t="str">
        <f t="shared" ca="1" si="15"/>
        <v>JP</v>
      </c>
      <c r="T115" s="181" t="str">
        <f ca="1">IF(B115="","",IF(ISERROR(MATCH($J115,SorP!$B$1:$B$6279,0)),"",INDIRECT("'SorP'!$A$"&amp;MATCH($S115&amp;$J115,SorP!C:C,0))))</f>
        <v>JP-12</v>
      </c>
      <c r="U115" s="201"/>
      <c r="V115" s="226">
        <f>IF(C115="",NA(),IF(OR(C115="Smelter not listed",C115="Smelter not yet identified"),MATCH($B115&amp;$D115,'Smelter Look-up'!$J:$J,0),MATCH($B115&amp;$C115,'Smelter Look-up'!$J:$J,0)))</f>
        <v>193</v>
      </c>
      <c r="X115" s="227">
        <f t="shared" si="16"/>
        <v>0</v>
      </c>
      <c r="AB115" s="228" t="str">
        <f t="shared" si="17"/>
        <v>GoldNihon Material Co., Ltd.</v>
      </c>
    </row>
    <row r="116" spans="1:28" s="227" customFormat="1" ht="102">
      <c r="A116" s="181" t="s">
        <v>756</v>
      </c>
      <c r="B116" s="182" t="s">
        <v>1127</v>
      </c>
      <c r="C116" s="186" t="s">
        <v>1026</v>
      </c>
      <c r="D116" s="230"/>
      <c r="E116" s="182" t="s">
        <v>1096</v>
      </c>
      <c r="F116" s="182" t="s">
        <v>756</v>
      </c>
      <c r="G116" s="182" t="s">
        <v>13240</v>
      </c>
      <c r="H116" s="183">
        <v>0</v>
      </c>
      <c r="I116" s="184" t="s">
        <v>1730</v>
      </c>
      <c r="J116" s="184" t="s">
        <v>13605</v>
      </c>
      <c r="K116" s="224"/>
      <c r="L116" s="224"/>
      <c r="M116" s="224"/>
      <c r="N116" s="224"/>
      <c r="O116" s="224"/>
      <c r="P116" s="185"/>
      <c r="Q116" s="225" t="s">
        <v>15815</v>
      </c>
      <c r="R116" s="182" t="str">
        <f ca="1">IF(ISERROR($V116),"",OFFSET('Smelter Look-up'!$C$4,$V116-4,0)&amp;"")</f>
        <v>Ningxia Orient Tantalum Industry Co., Ltd.</v>
      </c>
      <c r="S116" s="181" t="str">
        <f t="shared" ca="1" si="15"/>
        <v>CN</v>
      </c>
      <c r="T116" s="181" t="str">
        <f ca="1">IF(B116="","",IF(ISERROR(MATCH($J116,SorP!$B$1:$B$6279,0)),"",INDIRECT("'SorP'!$A$"&amp;MATCH($S116&amp;$J116,SorP!C:C,0))))</f>
        <v>CN-NX</v>
      </c>
      <c r="U116" s="201"/>
      <c r="V116" s="226">
        <f>IF(C116="",NA(),IF(OR(C116="Smelter not listed",C116="Smelter not yet identified"),MATCH($B116&amp;$D116,'Smelter Look-up'!$J:$J,0),MATCH($B116&amp;$C116,'Smelter Look-up'!$J:$J,0)))</f>
        <v>358</v>
      </c>
      <c r="X116" s="227">
        <f t="shared" si="16"/>
        <v>0</v>
      </c>
      <c r="AB116" s="228" t="str">
        <f t="shared" si="17"/>
        <v>TantalumNingxia Orient Tantalum Industry Co., Ltd.</v>
      </c>
    </row>
    <row r="117" spans="1:28" s="227" customFormat="1" ht="63.75">
      <c r="A117" s="181" t="s">
        <v>15106</v>
      </c>
      <c r="B117" s="182" t="s">
        <v>1126</v>
      </c>
      <c r="C117" s="186" t="s">
        <v>15105</v>
      </c>
      <c r="D117" s="230"/>
      <c r="E117" s="182" t="s">
        <v>879</v>
      </c>
      <c r="F117" s="182" t="s">
        <v>15106</v>
      </c>
      <c r="G117" s="182" t="s">
        <v>13240</v>
      </c>
      <c r="H117" s="183">
        <v>0</v>
      </c>
      <c r="I117" s="184" t="s">
        <v>1581</v>
      </c>
      <c r="J117" s="184" t="s">
        <v>10005</v>
      </c>
      <c r="K117" s="224"/>
      <c r="L117" s="224"/>
      <c r="M117" s="224"/>
      <c r="N117" s="224"/>
      <c r="O117" s="224"/>
      <c r="P117" s="185"/>
      <c r="Q117" s="225"/>
      <c r="R117" s="182" t="str">
        <f ca="1">IF(ISERROR($V117),"",OFFSET('Smelter Look-up'!$C$4,$V117-4,0)&amp;"")</f>
        <v>Novosibirsk Tin Combine</v>
      </c>
      <c r="S117" s="181" t="str">
        <f t="shared" ca="1" si="15"/>
        <v>RU</v>
      </c>
      <c r="T117" s="181" t="str">
        <f ca="1">IF(B117="","",IF(ISERROR(MATCH($J117,SorP!$B$1:$B$6279,0)),"",INDIRECT("'SorP'!$A$"&amp;MATCH($S117&amp;$J117,SorP!C:C,0))))</f>
        <v>RU-NVS</v>
      </c>
      <c r="U117" s="201"/>
      <c r="V117" s="226">
        <f>IF(C117="",NA(),IF(OR(C117="Smelter not listed",C117="Smelter not yet identified"),MATCH($B117&amp;$D117,'Smelter Look-up'!$J:$J,0),MATCH($B117&amp;$C117,'Smelter Look-up'!$J:$J,0)))</f>
        <v>477</v>
      </c>
      <c r="X117" s="227">
        <f t="shared" si="16"/>
        <v>0</v>
      </c>
      <c r="AB117" s="228" t="str">
        <f t="shared" si="17"/>
        <v>TinNovosibirsk Processing Plant Ltd.</v>
      </c>
    </row>
    <row r="118" spans="1:28" s="227" customFormat="1" ht="76.5">
      <c r="A118" s="181" t="s">
        <v>776</v>
      </c>
      <c r="B118" s="182" t="s">
        <v>1126</v>
      </c>
      <c r="C118" s="186" t="s">
        <v>775</v>
      </c>
      <c r="D118" s="230"/>
      <c r="E118" s="182" t="s">
        <v>884</v>
      </c>
      <c r="F118" s="182" t="s">
        <v>776</v>
      </c>
      <c r="G118" s="182" t="s">
        <v>13240</v>
      </c>
      <c r="H118" s="183">
        <v>0</v>
      </c>
      <c r="I118" s="184" t="s">
        <v>2340</v>
      </c>
      <c r="J118" s="184" t="s">
        <v>11025</v>
      </c>
      <c r="K118" s="224"/>
      <c r="L118" s="224"/>
      <c r="M118" s="224"/>
      <c r="N118" s="224"/>
      <c r="O118" s="224"/>
      <c r="P118" s="185"/>
      <c r="Q118" s="225" t="s">
        <v>15815</v>
      </c>
      <c r="R118" s="182" t="str">
        <f ca="1">IF(ISERROR($V118),"",OFFSET('Smelter Look-up'!$C$4,$V118-4,0)&amp;"")</f>
        <v>O.M. Manufacturing (Thailand) Co., Ltd.</v>
      </c>
      <c r="S118" s="181" t="str">
        <f t="shared" ca="1" si="15"/>
        <v>TH</v>
      </c>
      <c r="T118" s="181" t="str">
        <f ca="1">IF(B118="","",IF(ISERROR(MATCH($J118,SorP!$B$1:$B$6279,0)),"",INDIRECT("'SorP'!$A$"&amp;MATCH($S118&amp;$J118,SorP!C:C,0))))</f>
        <v>TH-20</v>
      </c>
      <c r="U118" s="201"/>
      <c r="V118" s="226">
        <f>IF(C118="",NA(),IF(OR(C118="Smelter not listed",C118="Smelter not yet identified"),MATCH($B118&amp;$D118,'Smelter Look-up'!$J:$J,0),MATCH($B118&amp;$C118,'Smelter Look-up'!$J:$J,0)))</f>
        <v>479</v>
      </c>
      <c r="X118" s="227">
        <f t="shared" si="16"/>
        <v>0</v>
      </c>
      <c r="AB118" s="228" t="str">
        <f t="shared" si="17"/>
        <v>TinO.M. Manufacturing (Thailand) Co., Ltd.</v>
      </c>
    </row>
    <row r="119" spans="1:28" s="227" customFormat="1" ht="51">
      <c r="A119" s="181" t="s">
        <v>15941</v>
      </c>
      <c r="B119" s="182" t="s">
        <v>1125</v>
      </c>
      <c r="C119" s="186" t="s">
        <v>15942</v>
      </c>
      <c r="D119" s="230" t="s">
        <v>15942</v>
      </c>
      <c r="E119" s="182" t="s">
        <v>2432</v>
      </c>
      <c r="F119" s="182" t="s">
        <v>15941</v>
      </c>
      <c r="G119" s="182" t="s">
        <v>15883</v>
      </c>
      <c r="H119" s="183">
        <v>0</v>
      </c>
      <c r="I119" s="184" t="s">
        <v>15943</v>
      </c>
      <c r="J119" s="184" t="s">
        <v>1635</v>
      </c>
      <c r="K119" s="224"/>
      <c r="L119" s="224"/>
      <c r="M119" s="224"/>
      <c r="N119" s="224"/>
      <c r="O119" s="224"/>
      <c r="P119" s="185"/>
      <c r="Q119" s="225" t="s">
        <v>15907</v>
      </c>
      <c r="R119" s="182" t="str">
        <f ca="1">IF(ISERROR($V119),"",OFFSET('Smelter Look-up'!$C$4,$V119-4,0)&amp;"")</f>
        <v/>
      </c>
      <c r="S119" s="181" t="str">
        <f t="shared" ca="1" si="15"/>
        <v>US</v>
      </c>
      <c r="T119" s="181" t="str">
        <f ca="1">IF(B119="","",IF(ISERROR(MATCH($J119,SorP!$B$1:$B$6279,0)),"",INDIRECT("'SorP'!$A$"&amp;MATCH($S119&amp;$J119,SorP!C:C,0))))</f>
        <v>US-OH</v>
      </c>
      <c r="U119" s="201"/>
      <c r="V119" s="226" t="e">
        <f>IF(C119="",NA(),IF(OR(C119="Smelter not listed",C119="Smelter not yet identified"),MATCH($B119&amp;$D119,'Smelter Look-up'!$J:$J,0),MATCH($B119&amp;$C119,'Smelter Look-up'!$J:$J,0)))</f>
        <v>#N/A</v>
      </c>
      <c r="X119" s="227">
        <f t="shared" si="16"/>
        <v>0</v>
      </c>
      <c r="AB119" s="228" t="str">
        <f t="shared" si="17"/>
        <v>GoldElemetal Refining, LLC</v>
      </c>
    </row>
    <row r="120" spans="1:28" s="227" customFormat="1" ht="89.25">
      <c r="A120" s="181" t="s">
        <v>714</v>
      </c>
      <c r="B120" s="182" t="s">
        <v>1125</v>
      </c>
      <c r="C120" s="186" t="s">
        <v>2155</v>
      </c>
      <c r="D120" s="230"/>
      <c r="E120" s="182" t="s">
        <v>1104</v>
      </c>
      <c r="F120" s="182" t="s">
        <v>714</v>
      </c>
      <c r="G120" s="182" t="s">
        <v>13240</v>
      </c>
      <c r="H120" s="183">
        <v>0</v>
      </c>
      <c r="I120" s="184" t="s">
        <v>1636</v>
      </c>
      <c r="J120" s="184" t="s">
        <v>1637</v>
      </c>
      <c r="K120" s="224"/>
      <c r="L120" s="224"/>
      <c r="M120" s="224"/>
      <c r="N120" s="224"/>
      <c r="O120" s="224"/>
      <c r="P120" s="185"/>
      <c r="Q120" s="225" t="s">
        <v>15815</v>
      </c>
      <c r="R120" s="182" t="str">
        <f ca="1">IF(ISERROR($V120),"",OFFSET('Smelter Look-up'!$C$4,$V120-4,0)&amp;"")</f>
        <v>Ohura Precious Metal Industry Co., Ltd.</v>
      </c>
      <c r="S120" s="181" t="str">
        <f t="shared" ca="1" si="15"/>
        <v>JP</v>
      </c>
      <c r="T120" s="181" t="str">
        <f ca="1">IF(B120="","",IF(ISERROR(MATCH($J120,SorP!$B$1:$B$6279,0)),"",INDIRECT("'SorP'!$A$"&amp;MATCH($S120&amp;$J120,SorP!C:C,0))))</f>
        <v>JP-29</v>
      </c>
      <c r="U120" s="201"/>
      <c r="V120" s="226">
        <f>IF(C120="",NA(),IF(OR(C120="Smelter not listed",C120="Smelter not yet identified"),MATCH($B120&amp;$D120,'Smelter Look-up'!$J:$J,0),MATCH($B120&amp;$C120,'Smelter Look-up'!$J:$J,0)))</f>
        <v>198</v>
      </c>
      <c r="X120" s="227">
        <f t="shared" si="16"/>
        <v>0</v>
      </c>
      <c r="AB120" s="228" t="str">
        <f t="shared" si="17"/>
        <v>GoldOhura Precious Metal Industry Co., Ltd.</v>
      </c>
    </row>
    <row r="121" spans="1:28" s="227" customFormat="1" ht="153">
      <c r="A121" s="181" t="s">
        <v>715</v>
      </c>
      <c r="B121" s="182" t="s">
        <v>1125</v>
      </c>
      <c r="C121" s="186" t="s">
        <v>2257</v>
      </c>
      <c r="D121" s="230"/>
      <c r="E121" s="182" t="s">
        <v>879</v>
      </c>
      <c r="F121" s="182" t="s">
        <v>715</v>
      </c>
      <c r="G121" s="182" t="s">
        <v>13240</v>
      </c>
      <c r="H121" s="183">
        <v>0</v>
      </c>
      <c r="I121" s="184" t="s">
        <v>1638</v>
      </c>
      <c r="J121" s="184" t="s">
        <v>10035</v>
      </c>
      <c r="K121" s="224"/>
      <c r="L121" s="224"/>
      <c r="M121" s="224"/>
      <c r="N121" s="224"/>
      <c r="O121" s="224"/>
      <c r="P121" s="185"/>
      <c r="Q121" s="225" t="s">
        <v>15815</v>
      </c>
      <c r="R121" s="182" t="str">
        <f ca="1">IF(ISERROR($V121),"",OFFSET('Smelter Look-up'!$C$4,$V121-4,0)&amp;"")</f>
        <v>OJSC "The Gulidov Krasnoyarsk Non-Ferrous Metals Plant" (OJSC Krastsvetmet)</v>
      </c>
      <c r="S121" s="181" t="str">
        <f t="shared" ca="1" si="15"/>
        <v>RU</v>
      </c>
      <c r="T121" s="181" t="str">
        <f ca="1">IF(B121="","",IF(ISERROR(MATCH($J121,SorP!$B$1:$B$6279,0)),"",INDIRECT("'SorP'!$A$"&amp;MATCH($S121&amp;$J121,SorP!C:C,0))))</f>
        <v>RU-KYA</v>
      </c>
      <c r="U121" s="201"/>
      <c r="V121" s="226">
        <f>IF(C121="",NA(),IF(OR(C121="Smelter not listed",C121="Smelter not yet identified"),MATCH($B121&amp;$D121,'Smelter Look-up'!$J:$J,0),MATCH($B121&amp;$C121,'Smelter Look-up'!$J:$J,0)))</f>
        <v>199</v>
      </c>
      <c r="X121" s="227">
        <f t="shared" si="16"/>
        <v>0</v>
      </c>
      <c r="AB121" s="228" t="str">
        <f t="shared" si="17"/>
        <v>GoldOJSC "The Gulidov Krasnoyarsk Non-Ferrous Metals Plant" (OJSC Krastsvetmet)</v>
      </c>
    </row>
    <row r="122" spans="1:28" s="227" customFormat="1" ht="63.75">
      <c r="A122" s="181" t="s">
        <v>777</v>
      </c>
      <c r="B122" s="182" t="s">
        <v>1126</v>
      </c>
      <c r="C122" s="186" t="s">
        <v>13803</v>
      </c>
      <c r="D122" s="230"/>
      <c r="E122" s="182" t="s">
        <v>2430</v>
      </c>
      <c r="F122" s="182" t="s">
        <v>777</v>
      </c>
      <c r="G122" s="182" t="s">
        <v>13240</v>
      </c>
      <c r="H122" s="183">
        <v>0</v>
      </c>
      <c r="I122" s="184" t="s">
        <v>1769</v>
      </c>
      <c r="J122" s="184" t="s">
        <v>1769</v>
      </c>
      <c r="K122" s="224"/>
      <c r="L122" s="224"/>
      <c r="M122" s="224"/>
      <c r="N122" s="224"/>
      <c r="O122" s="224"/>
      <c r="P122" s="185"/>
      <c r="Q122" s="225" t="s">
        <v>15815</v>
      </c>
      <c r="R122" s="182" t="str">
        <f ca="1">IF(ISERROR($V122),"",OFFSET('Smelter Look-up'!$C$4,$V122-4,0)&amp;"")</f>
        <v>Operaciones Metalurgicas S.A.</v>
      </c>
      <c r="S122" s="181" t="str">
        <f t="shared" ca="1" si="15"/>
        <v>BO</v>
      </c>
      <c r="T122" s="181" t="str">
        <f ca="1">IF(B122="","",IF(ISERROR(MATCH($J122,SorP!$B$1:$B$6279,0)),"",INDIRECT("'SorP'!$A$"&amp;MATCH($S122&amp;$J122,SorP!C:C,0))))</f>
        <v>BO-O</v>
      </c>
      <c r="U122" s="201"/>
      <c r="V122" s="226">
        <f>IF(C122="",NA(),IF(OR(C122="Smelter not listed",C122="Smelter not yet identified"),MATCH($B122&amp;$D122,'Smelter Look-up'!$J:$J,0),MATCH($B122&amp;$C122,'Smelter Look-up'!$J:$J,0)))</f>
        <v>482</v>
      </c>
      <c r="X122" s="227">
        <f t="shared" si="16"/>
        <v>0</v>
      </c>
      <c r="AB122" s="228" t="str">
        <f t="shared" si="17"/>
        <v>TinOperaciones Metalurgicas S.A.</v>
      </c>
    </row>
    <row r="123" spans="1:28" s="227" customFormat="1" ht="25.5">
      <c r="A123" s="181" t="s">
        <v>716</v>
      </c>
      <c r="B123" s="182" t="s">
        <v>1125</v>
      </c>
      <c r="C123" s="186" t="s">
        <v>2313</v>
      </c>
      <c r="D123" s="230"/>
      <c r="E123" s="182" t="s">
        <v>1094</v>
      </c>
      <c r="F123" s="182" t="s">
        <v>716</v>
      </c>
      <c r="G123" s="182" t="s">
        <v>13240</v>
      </c>
      <c r="H123" s="183">
        <v>0</v>
      </c>
      <c r="I123" s="184" t="s">
        <v>15820</v>
      </c>
      <c r="J123" s="184" t="s">
        <v>1549</v>
      </c>
      <c r="K123" s="224"/>
      <c r="L123" s="224"/>
      <c r="M123" s="224"/>
      <c r="N123" s="224"/>
      <c r="O123" s="224"/>
      <c r="P123" s="185"/>
      <c r="Q123" s="225" t="s">
        <v>15815</v>
      </c>
      <c r="R123" s="182" t="str">
        <f ca="1">IF(ISERROR($V123),"",OFFSET('Smelter Look-up'!$C$4,$V123-4,0)&amp;"")</f>
        <v>MKS PAMP SA</v>
      </c>
      <c r="S123" s="181" t="str">
        <f t="shared" ca="1" si="15"/>
        <v>CH</v>
      </c>
      <c r="T123" s="181" t="str">
        <f ca="1">IF(B123="","",IF(ISERROR(MATCH($J123,SorP!$B$1:$B$6279,0)),"",INDIRECT("'SorP'!$A$"&amp;MATCH($S123&amp;$J123,SorP!C:C,0))))</f>
        <v>CH-TI</v>
      </c>
      <c r="U123" s="201"/>
      <c r="V123" s="226">
        <f>IF(C123="",NA(),IF(OR(C123="Smelter not listed",C123="Smelter not yet identified"),MATCH($B123&amp;$D123,'Smelter Look-up'!$J:$J,0),MATCH($B123&amp;$C123,'Smelter Look-up'!$J:$J,0)))</f>
        <v>202</v>
      </c>
      <c r="X123" s="227">
        <f t="shared" si="16"/>
        <v>0</v>
      </c>
      <c r="AB123" s="228" t="str">
        <f t="shared" si="17"/>
        <v>GoldPAMP S.A.</v>
      </c>
    </row>
    <row r="124" spans="1:28" s="227" customFormat="1" ht="76.5">
      <c r="A124" s="181" t="s">
        <v>718</v>
      </c>
      <c r="B124" s="182" t="s">
        <v>1125</v>
      </c>
      <c r="C124" s="186" t="s">
        <v>908</v>
      </c>
      <c r="D124" s="230"/>
      <c r="E124" s="182" t="s">
        <v>879</v>
      </c>
      <c r="F124" s="182" t="s">
        <v>718</v>
      </c>
      <c r="G124" s="182" t="s">
        <v>13240</v>
      </c>
      <c r="H124" s="183">
        <v>0</v>
      </c>
      <c r="I124" s="184" t="s">
        <v>1640</v>
      </c>
      <c r="J124" s="184" t="s">
        <v>9895</v>
      </c>
      <c r="K124" s="224"/>
      <c r="L124" s="224"/>
      <c r="M124" s="224"/>
      <c r="N124" s="224"/>
      <c r="O124" s="224"/>
      <c r="P124" s="185"/>
      <c r="Q124" s="225" t="s">
        <v>15815</v>
      </c>
      <c r="R124" s="182" t="str">
        <f ca="1">IF(ISERROR($V124),"",OFFSET('Smelter Look-up'!$C$4,$V124-4,0)&amp;"")</f>
        <v>Prioksky Plant of Non-Ferrous Metals</v>
      </c>
      <c r="S124" s="181" t="str">
        <f t="shared" ca="1" si="15"/>
        <v>RU</v>
      </c>
      <c r="T124" s="181" t="str">
        <f ca="1">IF(B124="","",IF(ISERROR(MATCH($J124,SorP!$B$1:$B$6279,0)),"",INDIRECT("'SorP'!$A$"&amp;MATCH($S124&amp;$J124,SorP!C:C,0))))</f>
        <v>RU-RYA</v>
      </c>
      <c r="U124" s="201"/>
      <c r="V124" s="226">
        <f>IF(C124="",NA(),IF(OR(C124="Smelter not listed",C124="Smelter not yet identified"),MATCH($B124&amp;$D124,'Smelter Look-up'!$J:$J,0),MATCH($B124&amp;$C124,'Smelter Look-up'!$J:$J,0)))</f>
        <v>209</v>
      </c>
      <c r="X124" s="227">
        <f t="shared" si="16"/>
        <v>0</v>
      </c>
      <c r="AB124" s="228" t="str">
        <f t="shared" si="17"/>
        <v>GoldPrioksky Plant of Non-Ferrous Metals</v>
      </c>
    </row>
    <row r="125" spans="1:28" s="227" customFormat="1" ht="76.5">
      <c r="A125" s="181" t="s">
        <v>719</v>
      </c>
      <c r="B125" s="182" t="s">
        <v>1125</v>
      </c>
      <c r="C125" s="186" t="s">
        <v>1227</v>
      </c>
      <c r="D125" s="230"/>
      <c r="E125" s="182" t="s">
        <v>1101</v>
      </c>
      <c r="F125" s="182" t="s">
        <v>719</v>
      </c>
      <c r="G125" s="182" t="s">
        <v>13240</v>
      </c>
      <c r="H125" s="183">
        <v>0</v>
      </c>
      <c r="I125" s="184" t="s">
        <v>1641</v>
      </c>
      <c r="J125" s="184" t="s">
        <v>6003</v>
      </c>
      <c r="K125" s="224"/>
      <c r="L125" s="224"/>
      <c r="M125" s="224"/>
      <c r="N125" s="224"/>
      <c r="O125" s="224"/>
      <c r="P125" s="185"/>
      <c r="Q125" s="225" t="s">
        <v>15815</v>
      </c>
      <c r="R125" s="182" t="str">
        <f ca="1">IF(ISERROR($V125),"",OFFSET('Smelter Look-up'!$C$4,$V125-4,0)&amp;"")</f>
        <v>PT Aneka Tambang (Persero) Tbk</v>
      </c>
      <c r="S125" s="181" t="str">
        <f t="shared" ca="1" si="15"/>
        <v>ID</v>
      </c>
      <c r="T125" s="181" t="str">
        <f ca="1">IF(B125="","",IF(ISERROR(MATCH($J125,SorP!$B$1:$B$6279,0)),"",INDIRECT("'SorP'!$A$"&amp;MATCH($S125&amp;$J125,SorP!C:C,0))))</f>
        <v>ID-JK</v>
      </c>
      <c r="U125" s="201"/>
      <c r="V125" s="226">
        <f>IF(C125="",NA(),IF(OR(C125="Smelter not listed",C125="Smelter not yet identified"),MATCH($B125&amp;$D125,'Smelter Look-up'!$J:$J,0),MATCH($B125&amp;$C125,'Smelter Look-up'!$J:$J,0)))</f>
        <v>211</v>
      </c>
      <c r="X125" s="227">
        <f t="shared" si="16"/>
        <v>0</v>
      </c>
      <c r="AB125" s="228" t="str">
        <f t="shared" si="17"/>
        <v>GoldPT Aneka Tambang (Persero) Tbk</v>
      </c>
    </row>
    <row r="126" spans="1:28" s="227" customFormat="1" ht="63.75">
      <c r="A126" s="181" t="s">
        <v>778</v>
      </c>
      <c r="B126" s="182" t="s">
        <v>1126</v>
      </c>
      <c r="C126" s="186" t="s">
        <v>840</v>
      </c>
      <c r="D126" s="230"/>
      <c r="E126" s="182" t="s">
        <v>1101</v>
      </c>
      <c r="F126" s="182" t="s">
        <v>778</v>
      </c>
      <c r="G126" s="182" t="s">
        <v>13240</v>
      </c>
      <c r="H126" s="183">
        <v>0</v>
      </c>
      <c r="I126" s="184" t="s">
        <v>1767</v>
      </c>
      <c r="J126" s="184" t="s">
        <v>12852</v>
      </c>
      <c r="K126" s="224"/>
      <c r="L126" s="224"/>
      <c r="M126" s="224"/>
      <c r="N126" s="224"/>
      <c r="O126" s="224"/>
      <c r="P126" s="185"/>
      <c r="Q126" s="225" t="s">
        <v>15815</v>
      </c>
      <c r="R126" s="182" t="str">
        <f ca="1">IF(ISERROR($V126),"",OFFSET('Smelter Look-up'!$C$4,$V126-4,0)&amp;"")</f>
        <v>PT Artha Cipta Langgeng</v>
      </c>
      <c r="S126" s="181" t="str">
        <f t="shared" ca="1" si="15"/>
        <v>ID</v>
      </c>
      <c r="T126" s="181" t="str">
        <f ca="1">IF(B126="","",IF(ISERROR(MATCH($J126,SorP!$B$1:$B$6279,0)),"",INDIRECT("'SorP'!$A$"&amp;MATCH($S126&amp;$J126,SorP!C:C,0))))</f>
        <v>ID-BB</v>
      </c>
      <c r="U126" s="201"/>
      <c r="V126" s="226">
        <f>IF(C126="",NA(),IF(OR(C126="Smelter not listed",C126="Smelter not yet identified"),MATCH($B126&amp;$D126,'Smelter Look-up'!$J:$J,0),MATCH($B126&amp;$C126,'Smelter Look-up'!$J:$J,0)))</f>
        <v>487</v>
      </c>
      <c r="X126" s="227">
        <f t="shared" si="16"/>
        <v>0</v>
      </c>
      <c r="AB126" s="228" t="str">
        <f t="shared" si="17"/>
        <v>TinPT Artha Cipta Langgeng</v>
      </c>
    </row>
    <row r="127" spans="1:28" s="227" customFormat="1" ht="51">
      <c r="A127" s="181" t="s">
        <v>15479</v>
      </c>
      <c r="B127" s="182" t="s">
        <v>1126</v>
      </c>
      <c r="C127" s="186" t="s">
        <v>15478</v>
      </c>
      <c r="D127" s="230"/>
      <c r="E127" s="182" t="s">
        <v>1101</v>
      </c>
      <c r="F127" s="182" t="s">
        <v>15479</v>
      </c>
      <c r="G127" s="182" t="s">
        <v>13240</v>
      </c>
      <c r="H127" s="183" t="s">
        <v>15944</v>
      </c>
      <c r="I127" s="184" t="s">
        <v>15480</v>
      </c>
      <c r="J127" s="184" t="s">
        <v>12852</v>
      </c>
      <c r="K127" s="224" t="s">
        <v>15945</v>
      </c>
      <c r="L127" s="224" t="s">
        <v>15946</v>
      </c>
      <c r="M127" s="224" t="s">
        <v>15926</v>
      </c>
      <c r="N127" s="224" t="s">
        <v>15478</v>
      </c>
      <c r="O127" s="224" t="s">
        <v>15947</v>
      </c>
      <c r="P127" s="185" t="s">
        <v>489</v>
      </c>
      <c r="Q127" s="225" t="s">
        <v>15948</v>
      </c>
      <c r="R127" s="182" t="str">
        <f ca="1">IF(ISERROR($V127),"",OFFSET('Smelter Look-up'!$C$4,$V127-4,0)&amp;"")</f>
        <v>PT Babel Inti Perkasa</v>
      </c>
      <c r="S127" s="181" t="str">
        <f t="shared" ca="1" si="15"/>
        <v>ID</v>
      </c>
      <c r="T127" s="181" t="str">
        <f ca="1">IF(B127="","",IF(ISERROR(MATCH($J127,SorP!$B$1:$B$6279,0)),"",INDIRECT("'SorP'!$A$"&amp;MATCH($S127&amp;$J127,SorP!C:C,0))))</f>
        <v>ID-BB</v>
      </c>
      <c r="U127" s="201"/>
      <c r="V127" s="226">
        <f>IF(C127="",NA(),IF(OR(C127="Smelter not listed",C127="Smelter not yet identified"),MATCH($B127&amp;$D127,'Smelter Look-up'!$J:$J,0),MATCH($B127&amp;$C127,'Smelter Look-up'!$J:$J,0)))</f>
        <v>489</v>
      </c>
      <c r="X127" s="227">
        <f t="shared" si="16"/>
        <v>0</v>
      </c>
      <c r="AB127" s="228" t="str">
        <f t="shared" si="17"/>
        <v>TinPT Babel Inti Perkasa</v>
      </c>
    </row>
    <row r="128" spans="1:28" s="227" customFormat="1" ht="63.75">
      <c r="A128" s="181" t="s">
        <v>15108</v>
      </c>
      <c r="B128" s="182" t="s">
        <v>1126</v>
      </c>
      <c r="C128" s="186" t="s">
        <v>15107</v>
      </c>
      <c r="D128" s="230"/>
      <c r="E128" s="182" t="s">
        <v>1101</v>
      </c>
      <c r="F128" s="182" t="s">
        <v>15108</v>
      </c>
      <c r="G128" s="182" t="s">
        <v>13240</v>
      </c>
      <c r="H128" s="183" t="s">
        <v>15802</v>
      </c>
      <c r="I128" s="184" t="s">
        <v>15146</v>
      </c>
      <c r="J128" s="184" t="s">
        <v>12852</v>
      </c>
      <c r="K128" s="224" t="s">
        <v>15802</v>
      </c>
      <c r="L128" s="224" t="s">
        <v>15802</v>
      </c>
      <c r="M128" s="224" t="s">
        <v>15885</v>
      </c>
      <c r="N128" s="224" t="s">
        <v>15802</v>
      </c>
      <c r="O128" s="224" t="s">
        <v>15886</v>
      </c>
      <c r="P128" s="185" t="s">
        <v>489</v>
      </c>
      <c r="Q128" s="225" t="s">
        <v>15802</v>
      </c>
      <c r="R128" s="182" t="str">
        <f ca="1">IF(ISERROR($V128),"",OFFSET('Smelter Look-up'!$C$4,$V128-4,0)&amp;"")</f>
        <v>PT Babel Surya Alam Lestari</v>
      </c>
      <c r="S128" s="181" t="str">
        <f t="shared" ca="1" si="15"/>
        <v>ID</v>
      </c>
      <c r="T128" s="181" t="str">
        <f ca="1">IF(B128="","",IF(ISERROR(MATCH($J128,SorP!$B$1:$B$6279,0)),"",INDIRECT("'SorP'!$A$"&amp;MATCH($S128&amp;$J128,SorP!C:C,0))))</f>
        <v>ID-BB</v>
      </c>
      <c r="U128" s="201"/>
      <c r="V128" s="226">
        <f>IF(C128="",NA(),IF(OR(C128="Smelter not listed",C128="Smelter not yet identified"),MATCH($B128&amp;$D128,'Smelter Look-up'!$J:$J,0),MATCH($B128&amp;$C128,'Smelter Look-up'!$J:$J,0)))</f>
        <v>490</v>
      </c>
      <c r="X128" s="227">
        <f t="shared" si="16"/>
        <v>0</v>
      </c>
      <c r="AB128" s="228" t="str">
        <f t="shared" si="17"/>
        <v>TinPT Babel Surya Alam Lestari</v>
      </c>
    </row>
    <row r="129" spans="1:28" s="227" customFormat="1" ht="51">
      <c r="A129" s="181"/>
      <c r="B129" s="182" t="s">
        <v>1126</v>
      </c>
      <c r="C129" s="186" t="s">
        <v>15949</v>
      </c>
      <c r="D129" s="230" t="s">
        <v>15949</v>
      </c>
      <c r="E129" s="182" t="s">
        <v>1101</v>
      </c>
      <c r="F129" s="182" t="s">
        <v>15950</v>
      </c>
      <c r="G129" s="182" t="s">
        <v>15883</v>
      </c>
      <c r="H129" s="183" t="s">
        <v>15951</v>
      </c>
      <c r="I129" s="184" t="s">
        <v>15952</v>
      </c>
      <c r="J129" s="184" t="s">
        <v>15953</v>
      </c>
      <c r="K129" s="224" t="s">
        <v>15954</v>
      </c>
      <c r="L129" s="224" t="s">
        <v>15955</v>
      </c>
      <c r="M129" s="224"/>
      <c r="N129" s="224"/>
      <c r="O129" s="224"/>
      <c r="P129" s="185"/>
      <c r="Q129" s="225"/>
      <c r="R129" s="182" t="str">
        <f ca="1">IF(ISERROR($V129),"",OFFSET('Smelter Look-up'!$C$4,$V129-4,0)&amp;"")</f>
        <v/>
      </c>
      <c r="S129" s="181" t="str">
        <f t="shared" ca="1" si="15"/>
        <v>ID</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si="16"/>
        <v>0</v>
      </c>
      <c r="AB129" s="228" t="str">
        <f t="shared" si="17"/>
        <v>TinPT Bangka Putra Karya</v>
      </c>
    </row>
    <row r="130" spans="1:28" s="227" customFormat="1" ht="51">
      <c r="A130" s="181" t="s">
        <v>15546</v>
      </c>
      <c r="B130" s="182" t="s">
        <v>1126</v>
      </c>
      <c r="C130" s="186" t="s">
        <v>15545</v>
      </c>
      <c r="D130" s="230" t="s">
        <v>15545</v>
      </c>
      <c r="E130" s="182" t="s">
        <v>1101</v>
      </c>
      <c r="F130" s="182" t="s">
        <v>15546</v>
      </c>
      <c r="G130" s="182" t="s">
        <v>15883</v>
      </c>
      <c r="H130" s="183">
        <v>0</v>
      </c>
      <c r="I130" s="184" t="s">
        <v>1767</v>
      </c>
      <c r="J130" s="184" t="s">
        <v>15884</v>
      </c>
      <c r="K130" s="224"/>
      <c r="L130" s="224"/>
      <c r="M130" s="224"/>
      <c r="N130" s="224"/>
      <c r="O130" s="224"/>
      <c r="P130" s="185"/>
      <c r="Q130" s="225" t="s">
        <v>15907</v>
      </c>
      <c r="R130" s="182" t="str">
        <f ca="1">IF(ISERROR($V130),"",OFFSET('Smelter Look-up'!$C$4,$V130-4,0)&amp;"")</f>
        <v>PT Bangka Tin Industry</v>
      </c>
      <c r="S130" s="181" t="str">
        <f t="shared" ca="1" si="15"/>
        <v>ID</v>
      </c>
      <c r="T130" s="181" t="str">
        <f ca="1">IF(B130="","",IF(ISERROR(MATCH($J130,SorP!$B$1:$B$6279,0)),"",INDIRECT("'SorP'!$A$"&amp;MATCH($S130&amp;$J130,SorP!C:C,0))))</f>
        <v/>
      </c>
      <c r="U130" s="201"/>
      <c r="V130" s="226">
        <f>IF(C130="",NA(),IF(OR(C130="Smelter not listed",C130="Smelter not yet identified"),MATCH($B130&amp;$D130,'Smelter Look-up'!$J:$J,0),MATCH($B130&amp;$C130,'Smelter Look-up'!$J:$J,0)))</f>
        <v>493</v>
      </c>
      <c r="X130" s="227">
        <f t="shared" si="16"/>
        <v>0</v>
      </c>
      <c r="AB130" s="228" t="str">
        <f t="shared" si="17"/>
        <v>TinPT Bangka Tin Industry</v>
      </c>
    </row>
    <row r="131" spans="1:28" s="227" customFormat="1" ht="63.75">
      <c r="A131" s="181" t="s">
        <v>15482</v>
      </c>
      <c r="B131" s="182" t="s">
        <v>1126</v>
      </c>
      <c r="C131" s="186" t="s">
        <v>15481</v>
      </c>
      <c r="D131" s="230"/>
      <c r="E131" s="182" t="s">
        <v>1101</v>
      </c>
      <c r="F131" s="182" t="s">
        <v>15482</v>
      </c>
      <c r="G131" s="182" t="s">
        <v>13240</v>
      </c>
      <c r="H131" s="183">
        <v>0</v>
      </c>
      <c r="I131" s="184" t="s">
        <v>15956</v>
      </c>
      <c r="J131" s="184" t="s">
        <v>12852</v>
      </c>
      <c r="K131" s="224"/>
      <c r="L131" s="224"/>
      <c r="M131" s="224"/>
      <c r="N131" s="224"/>
      <c r="O131" s="224"/>
      <c r="P131" s="185"/>
      <c r="Q131" s="225"/>
      <c r="R131" s="182" t="str">
        <f ca="1">IF(ISERROR($V131),"",OFFSET('Smelter Look-up'!$C$4,$V131-4,0)&amp;"")</f>
        <v>PT Belitung Industri Sejahtera</v>
      </c>
      <c r="S131" s="181" t="str">
        <f t="shared" ca="1" si="15"/>
        <v>ID</v>
      </c>
      <c r="T131" s="181" t="str">
        <f ca="1">IF(B131="","",IF(ISERROR(MATCH($J131,SorP!$B$1:$B$6279,0)),"",INDIRECT("'SorP'!$A$"&amp;MATCH($S131&amp;$J131,SorP!C:C,0))))</f>
        <v>ID-BB</v>
      </c>
      <c r="U131" s="201"/>
      <c r="V131" s="226">
        <f>IF(C131="",NA(),IF(OR(C131="Smelter not listed",C131="Smelter not yet identified"),MATCH($B131&amp;$D131,'Smelter Look-up'!$J:$J,0),MATCH($B131&amp;$C131,'Smelter Look-up'!$J:$J,0)))</f>
        <v>494</v>
      </c>
      <c r="X131" s="227">
        <f t="shared" si="16"/>
        <v>0</v>
      </c>
      <c r="AB131" s="228" t="str">
        <f t="shared" si="17"/>
        <v>TinPT Belitung Industri Sejahtera</v>
      </c>
    </row>
    <row r="132" spans="1:28" s="227" customFormat="1" ht="38.25">
      <c r="A132" s="181" t="s">
        <v>15471</v>
      </c>
      <c r="B132" s="182" t="s">
        <v>1126</v>
      </c>
      <c r="C132" s="186" t="s">
        <v>15470</v>
      </c>
      <c r="D132" s="230"/>
      <c r="E132" s="182" t="s">
        <v>1101</v>
      </c>
      <c r="F132" s="182" t="s">
        <v>15471</v>
      </c>
      <c r="G132" s="182" t="s">
        <v>13240</v>
      </c>
      <c r="H132" s="183" t="s">
        <v>15802</v>
      </c>
      <c r="I132" s="184" t="s">
        <v>15143</v>
      </c>
      <c r="J132" s="184" t="s">
        <v>12852</v>
      </c>
      <c r="K132" s="224" t="s">
        <v>15802</v>
      </c>
      <c r="L132" s="224" t="s">
        <v>15802</v>
      </c>
      <c r="M132" s="224" t="s">
        <v>15895</v>
      </c>
      <c r="N132" s="224" t="s">
        <v>15802</v>
      </c>
      <c r="O132" s="224" t="s">
        <v>15886</v>
      </c>
      <c r="P132" s="185" t="s">
        <v>489</v>
      </c>
      <c r="Q132" s="225" t="s">
        <v>15802</v>
      </c>
      <c r="R132" s="182" t="str">
        <f ca="1">IF(ISERROR($V132),"",OFFSET('Smelter Look-up'!$C$4,$V132-4,0)&amp;"")</f>
        <v>PT Bukit Timah</v>
      </c>
      <c r="S132" s="181" t="str">
        <f t="shared" ca="1" si="15"/>
        <v>ID</v>
      </c>
      <c r="T132" s="181" t="str">
        <f ca="1">IF(B132="","",IF(ISERROR(MATCH($J132,SorP!$B$1:$B$6279,0)),"",INDIRECT("'SorP'!$A$"&amp;MATCH($S132&amp;$J132,SorP!C:C,0))))</f>
        <v>ID-BB</v>
      </c>
      <c r="U132" s="201"/>
      <c r="V132" s="226">
        <f>IF(C132="",NA(),IF(OR(C132="Smelter not listed",C132="Smelter not yet identified"),MATCH($B132&amp;$D132,'Smelter Look-up'!$J:$J,0),MATCH($B132&amp;$C132,'Smelter Look-up'!$J:$J,0)))</f>
        <v>495</v>
      </c>
      <c r="X132" s="227">
        <f t="shared" si="16"/>
        <v>0</v>
      </c>
      <c r="AB132" s="228" t="str">
        <f t="shared" si="17"/>
        <v>TinPT Bukit Timah</v>
      </c>
    </row>
    <row r="133" spans="1:28" s="227" customFormat="1" ht="38.25">
      <c r="A133" s="181" t="s">
        <v>15957</v>
      </c>
      <c r="B133" s="182" t="s">
        <v>1126</v>
      </c>
      <c r="C133" s="186" t="s">
        <v>15958</v>
      </c>
      <c r="D133" s="230" t="s">
        <v>15958</v>
      </c>
      <c r="E133" s="182" t="s">
        <v>1101</v>
      </c>
      <c r="F133" s="182" t="s">
        <v>15957</v>
      </c>
      <c r="G133" s="182" t="s">
        <v>15883</v>
      </c>
      <c r="H133" s="183">
        <v>0</v>
      </c>
      <c r="I133" s="184" t="s">
        <v>15143</v>
      </c>
      <c r="J133" s="184" t="s">
        <v>15884</v>
      </c>
      <c r="K133" s="224"/>
      <c r="L133" s="224"/>
      <c r="M133" s="224"/>
      <c r="N133" s="224"/>
      <c r="O133" s="224"/>
      <c r="P133" s="185"/>
      <c r="Q133" s="225" t="s">
        <v>15907</v>
      </c>
      <c r="R133" s="182" t="str">
        <f ca="1">IF(ISERROR($V133),"",OFFSET('Smelter Look-up'!$C$4,$V133-4,0)&amp;"")</f>
        <v/>
      </c>
      <c r="S133" s="181" t="str">
        <f t="shared" ref="S133" ca="1" si="18">IF(B133="","",IF(ISERROR(MATCH($E133,CL,0)),"Unknown",INDIRECT("'C'!$A$"&amp;MATCH($E133,CL,0)+1)))</f>
        <v>ID</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ref="X133" si="19">IF(AND(C133="Smelter not listed",OR(LEN(D133)=0,LEN(E133)=0)),1,0)</f>
        <v>0</v>
      </c>
      <c r="AB133" s="228" t="str">
        <f t="shared" ref="AB133" si="20">B133&amp;C133</f>
        <v>TinPT DS Jaya Abadi</v>
      </c>
    </row>
    <row r="134" spans="1:28" s="227" customFormat="1" ht="51">
      <c r="A134" s="181" t="s">
        <v>15959</v>
      </c>
      <c r="B134" s="182" t="s">
        <v>1126</v>
      </c>
      <c r="C134" s="186" t="s">
        <v>15960</v>
      </c>
      <c r="D134" s="230" t="s">
        <v>15960</v>
      </c>
      <c r="E134" s="182" t="s">
        <v>1101</v>
      </c>
      <c r="F134" s="182" t="s">
        <v>15959</v>
      </c>
      <c r="G134" s="182" t="s">
        <v>15883</v>
      </c>
      <c r="H134" s="183">
        <v>0</v>
      </c>
      <c r="I134" s="184" t="s">
        <v>15961</v>
      </c>
      <c r="J134" s="184" t="s">
        <v>1790</v>
      </c>
      <c r="K134" s="224"/>
      <c r="L134" s="224"/>
      <c r="M134" s="224"/>
      <c r="N134" s="224"/>
      <c r="O134" s="224"/>
      <c r="P134" s="185"/>
      <c r="Q134" s="225" t="s">
        <v>15907</v>
      </c>
      <c r="R134" s="182" t="str">
        <f ca="1">IF(ISERROR($V134),"",OFFSET('Smelter Look-up'!$C$4,$V134-4,0)&amp;"")</f>
        <v/>
      </c>
      <c r="S134" s="181" t="str">
        <f t="shared" ref="S134:S165" ca="1" si="21">IF(B134="","",IF(ISERROR(MATCH($E134,CL,0)),"Unknown",INDIRECT("'C'!$A$"&amp;MATCH($E134,CL,0)+1)))</f>
        <v>ID</v>
      </c>
      <c r="T134" s="181" t="str">
        <f ca="1">IF(B134="","",IF(ISERROR(MATCH($J134,SorP!$B$1:$B$6279,0)),"",INDIRECT("'SorP'!$A$"&amp;MATCH($S134&amp;$J134,SorP!C:C,0))))</f>
        <v>ID-KR</v>
      </c>
      <c r="U134" s="201"/>
      <c r="V134" s="226" t="e">
        <f>IF(C134="",NA(),IF(OR(C134="Smelter not listed",C134="Smelter not yet identified"),MATCH($B134&amp;$D134,'Smelter Look-up'!$J:$J,0),MATCH($B134&amp;$C134,'Smelter Look-up'!$J:$J,0)))</f>
        <v>#N/A</v>
      </c>
      <c r="X134" s="227">
        <f t="shared" ref="X134:X165" si="22">IF(AND(C134="Smelter not listed",OR(LEN(D134)=0,LEN(E134)=0)),1,0)</f>
        <v>0</v>
      </c>
      <c r="AB134" s="228" t="str">
        <f t="shared" ref="AB134:AB165" si="23">B134&amp;C134</f>
        <v>TinPT Eunindo Usaha Mandiri</v>
      </c>
    </row>
    <row r="135" spans="1:28" s="227" customFormat="1" ht="38.25">
      <c r="A135" s="181" t="s">
        <v>15962</v>
      </c>
      <c r="B135" s="182" t="s">
        <v>1126</v>
      </c>
      <c r="C135" s="186" t="s">
        <v>15963</v>
      </c>
      <c r="D135" s="230" t="s">
        <v>15963</v>
      </c>
      <c r="E135" s="182" t="s">
        <v>1101</v>
      </c>
      <c r="F135" s="182" t="s">
        <v>15962</v>
      </c>
      <c r="G135" s="182" t="s">
        <v>15883</v>
      </c>
      <c r="H135" s="183">
        <v>0</v>
      </c>
      <c r="I135" s="184" t="s">
        <v>15961</v>
      </c>
      <c r="J135" s="184" t="s">
        <v>1790</v>
      </c>
      <c r="K135" s="224"/>
      <c r="L135" s="224"/>
      <c r="M135" s="224"/>
      <c r="N135" s="224"/>
      <c r="O135" s="224"/>
      <c r="P135" s="185"/>
      <c r="Q135" s="225" t="s">
        <v>15907</v>
      </c>
      <c r="R135" s="182" t="str">
        <f ca="1">IF(ISERROR($V135),"",OFFSET('Smelter Look-up'!$C$4,$V135-4,0)&amp;"")</f>
        <v/>
      </c>
      <c r="S135" s="181" t="str">
        <f t="shared" ca="1" si="21"/>
        <v>ID</v>
      </c>
      <c r="T135" s="181" t="str">
        <f ca="1">IF(B135="","",IF(ISERROR(MATCH($J135,SorP!$B$1:$B$6279,0)),"",INDIRECT("'SorP'!$A$"&amp;MATCH($S135&amp;$J135,SorP!C:C,0))))</f>
        <v>ID-KR</v>
      </c>
      <c r="U135" s="201"/>
      <c r="V135" s="226" t="e">
        <f>IF(C135="",NA(),IF(OR(C135="Smelter not listed",C135="Smelter not yet identified"),MATCH($B135&amp;$D135,'Smelter Look-up'!$J:$J,0),MATCH($B135&amp;$C135,'Smelter Look-up'!$J:$J,0)))</f>
        <v>#N/A</v>
      </c>
      <c r="X135" s="227">
        <f t="shared" si="22"/>
        <v>0</v>
      </c>
      <c r="AB135" s="228" t="str">
        <f t="shared" si="23"/>
        <v>TinPT Karimun Mining</v>
      </c>
    </row>
    <row r="136" spans="1:28" s="227" customFormat="1" ht="51">
      <c r="A136" s="181" t="s">
        <v>779</v>
      </c>
      <c r="B136" s="182" t="s">
        <v>1126</v>
      </c>
      <c r="C136" s="186" t="s">
        <v>627</v>
      </c>
      <c r="D136" s="230"/>
      <c r="E136" s="182" t="s">
        <v>1101</v>
      </c>
      <c r="F136" s="182" t="s">
        <v>779</v>
      </c>
      <c r="G136" s="182" t="s">
        <v>13240</v>
      </c>
      <c r="H136" s="183">
        <v>0</v>
      </c>
      <c r="I136" s="184" t="s">
        <v>1767</v>
      </c>
      <c r="J136" s="184" t="s">
        <v>12852</v>
      </c>
      <c r="K136" s="224"/>
      <c r="L136" s="224"/>
      <c r="M136" s="224"/>
      <c r="N136" s="224"/>
      <c r="O136" s="224"/>
      <c r="P136" s="185"/>
      <c r="Q136" s="225" t="s">
        <v>15815</v>
      </c>
      <c r="R136" s="182" t="str">
        <f ca="1">IF(ISERROR($V136),"",OFFSET('Smelter Look-up'!$C$4,$V136-4,0)&amp;"")</f>
        <v>PT Mitra Stania Prima</v>
      </c>
      <c r="S136" s="181" t="str">
        <f t="shared" ca="1" si="21"/>
        <v>ID</v>
      </c>
      <c r="T136" s="181" t="str">
        <f ca="1">IF(B136="","",IF(ISERROR(MATCH($J136,SorP!$B$1:$B$6279,0)),"",INDIRECT("'SorP'!$A$"&amp;MATCH($S136&amp;$J136,SorP!C:C,0))))</f>
        <v>ID-BB</v>
      </c>
      <c r="U136" s="201"/>
      <c r="V136" s="226">
        <f>IF(C136="",NA(),IF(OR(C136="Smelter not listed",C136="Smelter not yet identified"),MATCH($B136&amp;$D136,'Smelter Look-up'!$J:$J,0),MATCH($B136&amp;$C136,'Smelter Look-up'!$J:$J,0)))</f>
        <v>500</v>
      </c>
      <c r="X136" s="227">
        <f t="shared" si="22"/>
        <v>0</v>
      </c>
      <c r="AB136" s="228" t="str">
        <f t="shared" si="23"/>
        <v>TinPT Mitra Stania Prima</v>
      </c>
    </row>
    <row r="137" spans="1:28" s="227" customFormat="1" ht="51">
      <c r="A137" s="181" t="s">
        <v>15489</v>
      </c>
      <c r="B137" s="182" t="s">
        <v>1126</v>
      </c>
      <c r="C137" s="186" t="s">
        <v>15488</v>
      </c>
      <c r="D137" s="230" t="s">
        <v>15488</v>
      </c>
      <c r="E137" s="182" t="s">
        <v>1101</v>
      </c>
      <c r="F137" s="182" t="s">
        <v>15489</v>
      </c>
      <c r="G137" s="182" t="s">
        <v>15883</v>
      </c>
      <c r="H137" s="183">
        <v>0</v>
      </c>
      <c r="I137" s="184" t="s">
        <v>1767</v>
      </c>
      <c r="J137" s="184" t="s">
        <v>15884</v>
      </c>
      <c r="K137" s="224"/>
      <c r="L137" s="224"/>
      <c r="M137" s="224"/>
      <c r="N137" s="224"/>
      <c r="O137" s="224"/>
      <c r="P137" s="185"/>
      <c r="Q137" s="225" t="s">
        <v>15907</v>
      </c>
      <c r="R137" s="182" t="str">
        <f ca="1">IF(ISERROR($V137),"",OFFSET('Smelter Look-up'!$C$4,$V137-4,0)&amp;"")</f>
        <v>PT Panca Mega Persada</v>
      </c>
      <c r="S137" s="181" t="str">
        <f t="shared" ca="1" si="21"/>
        <v>ID</v>
      </c>
      <c r="T137" s="181" t="str">
        <f ca="1">IF(B137="","",IF(ISERROR(MATCH($J137,SorP!$B$1:$B$6279,0)),"",INDIRECT("'SorP'!$A$"&amp;MATCH($S137&amp;$J137,SorP!C:C,0))))</f>
        <v/>
      </c>
      <c r="U137" s="201"/>
      <c r="V137" s="226">
        <f>IF(C137="",NA(),IF(OR(C137="Smelter not listed",C137="Smelter not yet identified"),MATCH($B137&amp;$D137,'Smelter Look-up'!$J:$J,0),MATCH($B137&amp;$C137,'Smelter Look-up'!$J:$J,0)))</f>
        <v>502</v>
      </c>
      <c r="X137" s="227">
        <f t="shared" si="22"/>
        <v>0</v>
      </c>
      <c r="AB137" s="228" t="str">
        <f t="shared" si="23"/>
        <v>TinPT Panca Mega Persada</v>
      </c>
    </row>
    <row r="138" spans="1:28" s="227" customFormat="1" ht="51">
      <c r="A138" s="181" t="s">
        <v>15112</v>
      </c>
      <c r="B138" s="182" t="s">
        <v>1126</v>
      </c>
      <c r="C138" s="186" t="s">
        <v>15111</v>
      </c>
      <c r="D138" s="230"/>
      <c r="E138" s="182" t="s">
        <v>1101</v>
      </c>
      <c r="F138" s="182" t="s">
        <v>15112</v>
      </c>
      <c r="G138" s="182" t="s">
        <v>13240</v>
      </c>
      <c r="H138" s="183" t="s">
        <v>15802</v>
      </c>
      <c r="I138" s="184" t="s">
        <v>15143</v>
      </c>
      <c r="J138" s="184" t="s">
        <v>12852</v>
      </c>
      <c r="K138" s="224" t="s">
        <v>15802</v>
      </c>
      <c r="L138" s="224" t="s">
        <v>15802</v>
      </c>
      <c r="M138" s="224" t="s">
        <v>15885</v>
      </c>
      <c r="N138" s="224" t="s">
        <v>15802</v>
      </c>
      <c r="O138" s="224" t="s">
        <v>15886</v>
      </c>
      <c r="P138" s="185" t="s">
        <v>489</v>
      </c>
      <c r="Q138" s="225" t="s">
        <v>15802</v>
      </c>
      <c r="R138" s="182" t="str">
        <f ca="1">IF(ISERROR($V138),"",OFFSET('Smelter Look-up'!$C$4,$V138-4,0)&amp;"")</f>
        <v>PT Prima Timah Utama</v>
      </c>
      <c r="S138" s="181" t="str">
        <f t="shared" ca="1" si="21"/>
        <v>ID</v>
      </c>
      <c r="T138" s="181" t="str">
        <f ca="1">IF(B138="","",IF(ISERROR(MATCH($J138,SorP!$B$1:$B$6279,0)),"",INDIRECT("'SorP'!$A$"&amp;MATCH($S138&amp;$J138,SorP!C:C,0))))</f>
        <v>ID-BB</v>
      </c>
      <c r="U138" s="201"/>
      <c r="V138" s="226">
        <f>IF(C138="",NA(),IF(OR(C138="Smelter not listed",C138="Smelter not yet identified"),MATCH($B138&amp;$D138,'Smelter Look-up'!$J:$J,0),MATCH($B138&amp;$C138,'Smelter Look-up'!$J:$J,0)))</f>
        <v>504</v>
      </c>
      <c r="X138" s="227">
        <f t="shared" si="22"/>
        <v>0</v>
      </c>
      <c r="AB138" s="228" t="str">
        <f t="shared" si="23"/>
        <v>TinPT Prima Timah Utama</v>
      </c>
    </row>
    <row r="139" spans="1:28" s="227" customFormat="1" ht="51">
      <c r="A139" s="181" t="s">
        <v>780</v>
      </c>
      <c r="B139" s="182" t="s">
        <v>1126</v>
      </c>
      <c r="C139" s="186" t="s">
        <v>2157</v>
      </c>
      <c r="D139" s="230"/>
      <c r="E139" s="182" t="s">
        <v>1101</v>
      </c>
      <c r="F139" s="182" t="s">
        <v>780</v>
      </c>
      <c r="G139" s="182" t="s">
        <v>13240</v>
      </c>
      <c r="H139" s="183">
        <v>0</v>
      </c>
      <c r="I139" s="184" t="s">
        <v>1767</v>
      </c>
      <c r="J139" s="184" t="s">
        <v>12852</v>
      </c>
      <c r="K139" s="224"/>
      <c r="L139" s="224"/>
      <c r="M139" s="224"/>
      <c r="N139" s="224"/>
      <c r="O139" s="224"/>
      <c r="P139" s="185"/>
      <c r="Q139" s="225" t="s">
        <v>15815</v>
      </c>
      <c r="R139" s="182" t="str">
        <f ca="1">IF(ISERROR($V139),"",OFFSET('Smelter Look-up'!$C$4,$V139-4,0)&amp;"")</f>
        <v>PT Refined Bangka Tin</v>
      </c>
      <c r="S139" s="181" t="str">
        <f t="shared" ca="1" si="21"/>
        <v>ID</v>
      </c>
      <c r="T139" s="181" t="str">
        <f ca="1">IF(B139="","",IF(ISERROR(MATCH($J139,SorP!$B$1:$B$6279,0)),"",INDIRECT("'SorP'!$A$"&amp;MATCH($S139&amp;$J139,SorP!C:C,0))))</f>
        <v>ID-BB</v>
      </c>
      <c r="U139" s="201"/>
      <c r="V139" s="226">
        <f>IF(C139="",NA(),IF(OR(C139="Smelter not listed",C139="Smelter not yet identified"),MATCH($B139&amp;$D139,'Smelter Look-up'!$J:$J,0),MATCH($B139&amp;$C139,'Smelter Look-up'!$J:$J,0)))</f>
        <v>507</v>
      </c>
      <c r="X139" s="227">
        <f t="shared" si="22"/>
        <v>0</v>
      </c>
      <c r="AB139" s="228" t="str">
        <f t="shared" si="23"/>
        <v>TinPT Refined Bangka Tin</v>
      </c>
    </row>
    <row r="140" spans="1:28" s="227" customFormat="1" ht="63.75">
      <c r="A140" s="181" t="s">
        <v>15493</v>
      </c>
      <c r="B140" s="182" t="s">
        <v>1126</v>
      </c>
      <c r="C140" s="186" t="s">
        <v>15492</v>
      </c>
      <c r="D140" s="230"/>
      <c r="E140" s="182" t="s">
        <v>1101</v>
      </c>
      <c r="F140" s="182" t="s">
        <v>15493</v>
      </c>
      <c r="G140" s="182" t="s">
        <v>13240</v>
      </c>
      <c r="H140" s="183" t="s">
        <v>15802</v>
      </c>
      <c r="I140" s="184" t="s">
        <v>15143</v>
      </c>
      <c r="J140" s="184" t="s">
        <v>12852</v>
      </c>
      <c r="K140" s="224" t="s">
        <v>15802</v>
      </c>
      <c r="L140" s="224" t="s">
        <v>15802</v>
      </c>
      <c r="M140" s="224" t="s">
        <v>15885</v>
      </c>
      <c r="N140" s="224" t="s">
        <v>15802</v>
      </c>
      <c r="O140" s="224" t="s">
        <v>15886</v>
      </c>
      <c r="P140" s="185" t="s">
        <v>489</v>
      </c>
      <c r="Q140" s="225" t="s">
        <v>15802</v>
      </c>
      <c r="R140" s="182" t="str">
        <f ca="1">IF(ISERROR($V140),"",OFFSET('Smelter Look-up'!$C$4,$V140-4,0)&amp;"")</f>
        <v>PT Sariwiguna Binasentosa</v>
      </c>
      <c r="S140" s="181" t="str">
        <f t="shared" ca="1" si="21"/>
        <v>ID</v>
      </c>
      <c r="T140" s="181" t="str">
        <f ca="1">IF(B140="","",IF(ISERROR(MATCH($J140,SorP!$B$1:$B$6279,0)),"",INDIRECT("'SorP'!$A$"&amp;MATCH($S140&amp;$J140,SorP!C:C,0))))</f>
        <v>ID-BB</v>
      </c>
      <c r="U140" s="201"/>
      <c r="V140" s="226">
        <f>IF(C140="",NA(),IF(OR(C140="Smelter not listed",C140="Smelter not yet identified"),MATCH($B140&amp;$D140,'Smelter Look-up'!$J:$J,0),MATCH($B140&amp;$C140,'Smelter Look-up'!$J:$J,0)))</f>
        <v>508</v>
      </c>
      <c r="X140" s="227">
        <f t="shared" si="22"/>
        <v>0</v>
      </c>
      <c r="AB140" s="228" t="str">
        <f t="shared" si="23"/>
        <v>TinPT Sariwiguna Binasentosa</v>
      </c>
    </row>
    <row r="141" spans="1:28" s="227" customFormat="1" ht="51">
      <c r="A141" s="181" t="s">
        <v>15116</v>
      </c>
      <c r="B141" s="182" t="s">
        <v>1126</v>
      </c>
      <c r="C141" s="186" t="s">
        <v>15115</v>
      </c>
      <c r="D141" s="230"/>
      <c r="E141" s="182" t="s">
        <v>1101</v>
      </c>
      <c r="F141" s="182" t="s">
        <v>15116</v>
      </c>
      <c r="G141" s="182" t="s">
        <v>13240</v>
      </c>
      <c r="H141" s="183" t="s">
        <v>15802</v>
      </c>
      <c r="I141" s="184" t="s">
        <v>15143</v>
      </c>
      <c r="J141" s="184" t="s">
        <v>12852</v>
      </c>
      <c r="K141" s="224" t="s">
        <v>15802</v>
      </c>
      <c r="L141" s="224" t="s">
        <v>15802</v>
      </c>
      <c r="M141" s="224" t="s">
        <v>15885</v>
      </c>
      <c r="N141" s="224" t="s">
        <v>15802</v>
      </c>
      <c r="O141" s="224" t="s">
        <v>15886</v>
      </c>
      <c r="P141" s="185" t="s">
        <v>489</v>
      </c>
      <c r="Q141" s="225" t="s">
        <v>15802</v>
      </c>
      <c r="R141" s="182" t="str">
        <f ca="1">IF(ISERROR($V141),"",OFFSET('Smelter Look-up'!$C$4,$V141-4,0)&amp;"")</f>
        <v>PT Stanindo Inti Perkasa</v>
      </c>
      <c r="S141" s="181" t="str">
        <f t="shared" ca="1" si="21"/>
        <v>ID</v>
      </c>
      <c r="T141" s="181" t="str">
        <f ca="1">IF(B141="","",IF(ISERROR(MATCH($J141,SorP!$B$1:$B$6279,0)),"",INDIRECT("'SorP'!$A$"&amp;MATCH($S141&amp;$J141,SorP!C:C,0))))</f>
        <v>ID-BB</v>
      </c>
      <c r="U141" s="201"/>
      <c r="V141" s="226">
        <f>IF(C141="",NA(),IF(OR(C141="Smelter not listed",C141="Smelter not yet identified"),MATCH($B141&amp;$D141,'Smelter Look-up'!$J:$J,0),MATCH($B141&amp;$C141,'Smelter Look-up'!$J:$J,0)))</f>
        <v>509</v>
      </c>
      <c r="X141" s="227">
        <f t="shared" si="22"/>
        <v>0</v>
      </c>
      <c r="AB141" s="228" t="str">
        <f t="shared" si="23"/>
        <v>TinPT Stanindo Inti Perkasa</v>
      </c>
    </row>
    <row r="142" spans="1:28" s="227" customFormat="1" ht="51">
      <c r="A142" s="181" t="s">
        <v>15964</v>
      </c>
      <c r="B142" s="182" t="s">
        <v>1126</v>
      </c>
      <c r="C142" s="186" t="s">
        <v>15965</v>
      </c>
      <c r="D142" s="230" t="s">
        <v>15965</v>
      </c>
      <c r="E142" s="182" t="s">
        <v>1101</v>
      </c>
      <c r="F142" s="182" t="s">
        <v>15964</v>
      </c>
      <c r="G142" s="182" t="s">
        <v>15883</v>
      </c>
      <c r="H142" s="183">
        <v>0</v>
      </c>
      <c r="I142" s="184" t="s">
        <v>15143</v>
      </c>
      <c r="J142" s="184" t="s">
        <v>15884</v>
      </c>
      <c r="K142" s="224"/>
      <c r="L142" s="224"/>
      <c r="M142" s="224"/>
      <c r="N142" s="224"/>
      <c r="O142" s="224"/>
      <c r="P142" s="185"/>
      <c r="Q142" s="225" t="s">
        <v>15907</v>
      </c>
      <c r="R142" s="182" t="str">
        <f ca="1">IF(ISERROR($V142),"",OFFSET('Smelter Look-up'!$C$4,$V142-4,0)&amp;"")</f>
        <v/>
      </c>
      <c r="S142" s="181" t="str">
        <f t="shared" ca="1" si="21"/>
        <v>ID</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si="22"/>
        <v>0</v>
      </c>
      <c r="AB142" s="228" t="str">
        <f t="shared" si="23"/>
        <v>TinPT Sumber Jaya Indah</v>
      </c>
    </row>
    <row r="143" spans="1:28" s="227" customFormat="1" ht="51">
      <c r="A143" s="181" t="s">
        <v>800</v>
      </c>
      <c r="B143" s="182" t="s">
        <v>1126</v>
      </c>
      <c r="C143" s="186" t="s">
        <v>13802</v>
      </c>
      <c r="D143" s="230"/>
      <c r="E143" s="182" t="s">
        <v>1101</v>
      </c>
      <c r="F143" s="182" t="s">
        <v>800</v>
      </c>
      <c r="G143" s="182" t="s">
        <v>13240</v>
      </c>
      <c r="H143" s="183">
        <v>0</v>
      </c>
      <c r="I143" s="184" t="s">
        <v>1792</v>
      </c>
      <c r="J143" s="184" t="s">
        <v>6065</v>
      </c>
      <c r="K143" s="224"/>
      <c r="L143" s="224"/>
      <c r="M143" s="224"/>
      <c r="N143" s="224"/>
      <c r="O143" s="224"/>
      <c r="P143" s="185"/>
      <c r="Q143" s="225" t="s">
        <v>15815</v>
      </c>
      <c r="R143" s="182" t="str">
        <f ca="1">IF(ISERROR($V143),"",OFFSET('Smelter Look-up'!$C$4,$V143-4,0)&amp;"")</f>
        <v>PT Timah Tbk Kundur</v>
      </c>
      <c r="S143" s="181" t="str">
        <f t="shared" ca="1" si="21"/>
        <v>ID</v>
      </c>
      <c r="T143" s="181" t="str">
        <f ca="1">IF(B143="","",IF(ISERROR(MATCH($J143,SorP!$B$1:$B$6279,0)),"",INDIRECT("'SorP'!$A$"&amp;MATCH($S143&amp;$J143,SorP!C:C,0))))</f>
        <v>ID-RI</v>
      </c>
      <c r="U143" s="201"/>
      <c r="V143" s="226">
        <f>IF(C143="",NA(),IF(OR(C143="Smelter not listed",C143="Smelter not yet identified"),MATCH($B143&amp;$D143,'Smelter Look-up'!$J:$J,0),MATCH($B143&amp;$C143,'Smelter Look-up'!$J:$J,0)))</f>
        <v>513</v>
      </c>
      <c r="X143" s="227">
        <f t="shared" si="22"/>
        <v>0</v>
      </c>
      <c r="AB143" s="228" t="str">
        <f t="shared" si="23"/>
        <v>TinPT Timah Tbk Kundur</v>
      </c>
    </row>
    <row r="144" spans="1:28" s="227" customFormat="1" ht="51">
      <c r="A144" s="181" t="s">
        <v>781</v>
      </c>
      <c r="B144" s="182" t="s">
        <v>1126</v>
      </c>
      <c r="C144" s="186" t="s">
        <v>13801</v>
      </c>
      <c r="D144" s="230"/>
      <c r="E144" s="182" t="s">
        <v>1101</v>
      </c>
      <c r="F144" s="182" t="s">
        <v>781</v>
      </c>
      <c r="G144" s="182" t="s">
        <v>13240</v>
      </c>
      <c r="H144" s="183">
        <v>0</v>
      </c>
      <c r="I144" s="184" t="s">
        <v>1794</v>
      </c>
      <c r="J144" s="184" t="s">
        <v>12852</v>
      </c>
      <c r="K144" s="224"/>
      <c r="L144" s="224"/>
      <c r="M144" s="224"/>
      <c r="N144" s="224"/>
      <c r="O144" s="224"/>
      <c r="P144" s="185"/>
      <c r="Q144" s="225" t="s">
        <v>15815</v>
      </c>
      <c r="R144" s="182" t="str">
        <f ca="1">IF(ISERROR($V144),"",OFFSET('Smelter Look-up'!$C$4,$V144-4,0)&amp;"")</f>
        <v>PT Timah Tbk Mentok</v>
      </c>
      <c r="S144" s="181" t="str">
        <f t="shared" ca="1" si="21"/>
        <v>ID</v>
      </c>
      <c r="T144" s="181" t="str">
        <f ca="1">IF(B144="","",IF(ISERROR(MATCH($J144,SorP!$B$1:$B$6279,0)),"",INDIRECT("'SorP'!$A$"&amp;MATCH($S144&amp;$J144,SorP!C:C,0))))</f>
        <v>ID-BB</v>
      </c>
      <c r="U144" s="201"/>
      <c r="V144" s="226">
        <f>IF(C144="",NA(),IF(OR(C144="Smelter not listed",C144="Smelter not yet identified"),MATCH($B144&amp;$D144,'Smelter Look-up'!$J:$J,0),MATCH($B144&amp;$C144,'Smelter Look-up'!$J:$J,0)))</f>
        <v>514</v>
      </c>
      <c r="X144" s="227">
        <f t="shared" si="22"/>
        <v>0</v>
      </c>
      <c r="AB144" s="228" t="str">
        <f t="shared" si="23"/>
        <v>TinPT Timah Tbk Mentok</v>
      </c>
    </row>
    <row r="145" spans="1:28" s="227" customFormat="1" ht="51">
      <c r="A145" s="181" t="s">
        <v>15118</v>
      </c>
      <c r="B145" s="182" t="s">
        <v>1126</v>
      </c>
      <c r="C145" s="186" t="s">
        <v>15117</v>
      </c>
      <c r="D145" s="230"/>
      <c r="E145" s="182" t="s">
        <v>1101</v>
      </c>
      <c r="F145" s="182" t="s">
        <v>15118</v>
      </c>
      <c r="G145" s="182" t="s">
        <v>13240</v>
      </c>
      <c r="H145" s="183" t="s">
        <v>15802</v>
      </c>
      <c r="I145" s="184" t="s">
        <v>15150</v>
      </c>
      <c r="J145" s="184" t="s">
        <v>12852</v>
      </c>
      <c r="K145" s="224" t="s">
        <v>15802</v>
      </c>
      <c r="L145" s="224" t="s">
        <v>15802</v>
      </c>
      <c r="M145" s="224" t="s">
        <v>15802</v>
      </c>
      <c r="N145" s="224" t="s">
        <v>15802</v>
      </c>
      <c r="O145" s="224" t="s">
        <v>490</v>
      </c>
      <c r="P145" s="185" t="s">
        <v>15802</v>
      </c>
      <c r="Q145" s="225" t="s">
        <v>15802</v>
      </c>
      <c r="R145" s="182" t="str">
        <f ca="1">IF(ISERROR($V145),"",OFFSET('Smelter Look-up'!$C$4,$V145-4,0)&amp;"")</f>
        <v>PT Timah Nusantara</v>
      </c>
      <c r="S145" s="181" t="str">
        <f t="shared" ca="1" si="21"/>
        <v>ID</v>
      </c>
      <c r="T145" s="181" t="str">
        <f ca="1">IF(B145="","",IF(ISERROR(MATCH($J145,SorP!$B$1:$B$6279,0)),"",INDIRECT("'SorP'!$A$"&amp;MATCH($S145&amp;$J145,SorP!C:C,0))))</f>
        <v>ID-BB</v>
      </c>
      <c r="U145" s="201"/>
      <c r="V145" s="226">
        <f>IF(C145="",NA(),IF(OR(C145="Smelter not listed",C145="Smelter not yet identified"),MATCH($B145&amp;$D145,'Smelter Look-up'!$J:$J,0),MATCH($B145&amp;$C145,'Smelter Look-up'!$J:$J,0)))</f>
        <v>512</v>
      </c>
      <c r="X145" s="227">
        <f t="shared" si="22"/>
        <v>0</v>
      </c>
      <c r="AB145" s="228" t="str">
        <f t="shared" si="23"/>
        <v>TinPT Timah Nusantara</v>
      </c>
    </row>
    <row r="146" spans="1:28" s="227" customFormat="1" ht="76.5">
      <c r="A146" s="181" t="s">
        <v>15120</v>
      </c>
      <c r="B146" s="182" t="s">
        <v>1126</v>
      </c>
      <c r="C146" s="186" t="s">
        <v>15119</v>
      </c>
      <c r="D146" s="230"/>
      <c r="E146" s="182" t="s">
        <v>1101</v>
      </c>
      <c r="F146" s="182" t="s">
        <v>15120</v>
      </c>
      <c r="G146" s="182" t="s">
        <v>13240</v>
      </c>
      <c r="H146" s="183">
        <v>0</v>
      </c>
      <c r="I146" s="184" t="s">
        <v>15143</v>
      </c>
      <c r="J146" s="184" t="s">
        <v>12852</v>
      </c>
      <c r="K146" s="224"/>
      <c r="L146" s="224"/>
      <c r="M146" s="224"/>
      <c r="N146" s="224"/>
      <c r="O146" s="224"/>
      <c r="P146" s="185"/>
      <c r="Q146" s="225" t="s">
        <v>15966</v>
      </c>
      <c r="R146" s="182" t="str">
        <f ca="1">IF(ISERROR($V146),"",OFFSET('Smelter Look-up'!$C$4,$V146-4,0)&amp;"")</f>
        <v>PT Tinindo Inter Nusa</v>
      </c>
      <c r="S146" s="181" t="str">
        <f t="shared" ca="1" si="21"/>
        <v>ID</v>
      </c>
      <c r="T146" s="181" t="str">
        <f ca="1">IF(B146="","",IF(ISERROR(MATCH($J146,SorP!$B$1:$B$6279,0)),"",INDIRECT("'SorP'!$A$"&amp;MATCH($S146&amp;$J146,SorP!C:C,0))))</f>
        <v>ID-BB</v>
      </c>
      <c r="U146" s="201"/>
      <c r="V146" s="226">
        <f>IF(C146="",NA(),IF(OR(C146="Smelter not listed",C146="Smelter not yet identified"),MATCH($B146&amp;$D146,'Smelter Look-up'!$J:$J,0),MATCH($B146&amp;$C146,'Smelter Look-up'!$J:$J,0)))</f>
        <v>515</v>
      </c>
      <c r="X146" s="227">
        <f t="shared" si="22"/>
        <v>0</v>
      </c>
      <c r="AB146" s="228" t="str">
        <f t="shared" si="23"/>
        <v>TinPT Tinindo Inter Nusa</v>
      </c>
    </row>
    <row r="147" spans="1:28" s="227" customFormat="1" ht="38.25">
      <c r="A147" s="181" t="s">
        <v>15500</v>
      </c>
      <c r="B147" s="182" t="s">
        <v>1126</v>
      </c>
      <c r="C147" s="186" t="s">
        <v>15499</v>
      </c>
      <c r="D147" s="230"/>
      <c r="E147" s="182" t="s">
        <v>1101</v>
      </c>
      <c r="F147" s="182" t="s">
        <v>15500</v>
      </c>
      <c r="G147" s="182" t="s">
        <v>13240</v>
      </c>
      <c r="H147" s="183">
        <v>0</v>
      </c>
      <c r="I147" s="184" t="s">
        <v>15501</v>
      </c>
      <c r="J147" s="184" t="s">
        <v>12852</v>
      </c>
      <c r="K147" s="224"/>
      <c r="L147" s="224"/>
      <c r="M147" s="224"/>
      <c r="N147" s="224"/>
      <c r="O147" s="224"/>
      <c r="P147" s="185"/>
      <c r="Q147" s="225"/>
      <c r="R147" s="182" t="str">
        <f ca="1">IF(ISERROR($V147),"",OFFSET('Smelter Look-up'!$C$4,$V147-4,0)&amp;"")</f>
        <v>PT Tommy Utama</v>
      </c>
      <c r="S147" s="181" t="str">
        <f t="shared" ca="1" si="21"/>
        <v>ID</v>
      </c>
      <c r="T147" s="181" t="str">
        <f ca="1">IF(B147="","",IF(ISERROR(MATCH($J147,SorP!$B$1:$B$6279,0)),"",INDIRECT("'SorP'!$A$"&amp;MATCH($S147&amp;$J147,SorP!C:C,0))))</f>
        <v>ID-BB</v>
      </c>
      <c r="U147" s="201"/>
      <c r="V147" s="226">
        <f>IF(C147="",NA(),IF(OR(C147="Smelter not listed",C147="Smelter not yet identified"),MATCH($B147&amp;$D147,'Smelter Look-up'!$J:$J,0),MATCH($B147&amp;$C147,'Smelter Look-up'!$J:$J,0)))</f>
        <v>517</v>
      </c>
      <c r="X147" s="227">
        <f t="shared" si="22"/>
        <v>0</v>
      </c>
      <c r="AB147" s="228" t="str">
        <f t="shared" si="23"/>
        <v>TinPT Tommy Utama</v>
      </c>
    </row>
    <row r="148" spans="1:28" s="227" customFormat="1" ht="38.25">
      <c r="A148" s="181" t="s">
        <v>720</v>
      </c>
      <c r="B148" s="182" t="s">
        <v>1125</v>
      </c>
      <c r="C148" s="186" t="s">
        <v>12432</v>
      </c>
      <c r="D148" s="230"/>
      <c r="E148" s="182" t="s">
        <v>1094</v>
      </c>
      <c r="F148" s="182" t="s">
        <v>720</v>
      </c>
      <c r="G148" s="182" t="s">
        <v>13240</v>
      </c>
      <c r="H148" s="183">
        <v>0</v>
      </c>
      <c r="I148" s="184" t="s">
        <v>1642</v>
      </c>
      <c r="J148" s="184" t="s">
        <v>1623</v>
      </c>
      <c r="K148" s="224"/>
      <c r="L148" s="224"/>
      <c r="M148" s="224"/>
      <c r="N148" s="224"/>
      <c r="O148" s="224"/>
      <c r="P148" s="185"/>
      <c r="Q148" s="225" t="s">
        <v>15815</v>
      </c>
      <c r="R148" s="182" t="str">
        <f ca="1">IF(ISERROR($V148),"",OFFSET('Smelter Look-up'!$C$4,$V148-4,0)&amp;"")</f>
        <v>PX Precinox S.A.</v>
      </c>
      <c r="S148" s="181" t="str">
        <f t="shared" ca="1" si="21"/>
        <v>CH</v>
      </c>
      <c r="T148" s="181" t="str">
        <f ca="1">IF(B148="","",IF(ISERROR(MATCH($J148,SorP!$B$1:$B$6279,0)),"",INDIRECT("'SorP'!$A$"&amp;MATCH($S148&amp;$J148,SorP!C:C,0))))</f>
        <v>CH-NE</v>
      </c>
      <c r="U148" s="201"/>
      <c r="V148" s="226">
        <f>IF(C148="",NA(),IF(OR(C148="Smelter not listed",C148="Smelter not yet identified"),MATCH($B148&amp;$D148,'Smelter Look-up'!$J:$J,0),MATCH($B148&amp;$C148,'Smelter Look-up'!$J:$J,0)))</f>
        <v>212</v>
      </c>
      <c r="X148" s="227">
        <f t="shared" si="22"/>
        <v>0</v>
      </c>
      <c r="AB148" s="228" t="str">
        <f t="shared" si="23"/>
        <v>GoldPX Precinox S.A.</v>
      </c>
    </row>
    <row r="149" spans="1:28" s="227" customFormat="1" ht="38.25">
      <c r="A149" s="181" t="s">
        <v>757</v>
      </c>
      <c r="B149" s="182" t="s">
        <v>1127</v>
      </c>
      <c r="C149" s="186" t="s">
        <v>813</v>
      </c>
      <c r="D149" s="230"/>
      <c r="E149" s="182" t="s">
        <v>2432</v>
      </c>
      <c r="F149" s="182" t="s">
        <v>757</v>
      </c>
      <c r="G149" s="182" t="s">
        <v>13240</v>
      </c>
      <c r="H149" s="183">
        <v>0</v>
      </c>
      <c r="I149" s="184" t="s">
        <v>13826</v>
      </c>
      <c r="J149" s="184" t="s">
        <v>2263</v>
      </c>
      <c r="K149" s="224"/>
      <c r="L149" s="224"/>
      <c r="M149" s="224"/>
      <c r="N149" s="224"/>
      <c r="O149" s="224"/>
      <c r="P149" s="185"/>
      <c r="Q149" s="225" t="s">
        <v>15815</v>
      </c>
      <c r="R149" s="182" t="str">
        <f ca="1">IF(ISERROR($V149),"",OFFSET('Smelter Look-up'!$C$4,$V149-4,0)&amp;"")</f>
        <v>QuantumClean</v>
      </c>
      <c r="S149" s="181" t="str">
        <f t="shared" ca="1" si="21"/>
        <v>US</v>
      </c>
      <c r="T149" s="181" t="str">
        <f ca="1">IF(B149="","",IF(ISERROR(MATCH($J149,SorP!$B$1:$B$6279,0)),"",INDIRECT("'SorP'!$A$"&amp;MATCH($S149&amp;$J149,SorP!C:C,0))))</f>
        <v>US-TX</v>
      </c>
      <c r="U149" s="201"/>
      <c r="V149" s="226">
        <f>IF(C149="",NA(),IF(OR(C149="Smelter not listed",C149="Smelter not yet identified"),MATCH($B149&amp;$D149,'Smelter Look-up'!$J:$J,0),MATCH($B149&amp;$C149,'Smelter Look-up'!$J:$J,0)))</f>
        <v>361</v>
      </c>
      <c r="X149" s="227">
        <f t="shared" si="22"/>
        <v>0</v>
      </c>
      <c r="AB149" s="228" t="str">
        <f t="shared" si="23"/>
        <v>TantalumQuantumClean</v>
      </c>
    </row>
    <row r="150" spans="1:28" s="227" customFormat="1" ht="63.75">
      <c r="A150" s="181" t="s">
        <v>721</v>
      </c>
      <c r="B150" s="182" t="s">
        <v>1125</v>
      </c>
      <c r="C150" s="186" t="s">
        <v>2158</v>
      </c>
      <c r="D150" s="230"/>
      <c r="E150" s="182" t="s">
        <v>889</v>
      </c>
      <c r="F150" s="182" t="s">
        <v>721</v>
      </c>
      <c r="G150" s="182" t="s">
        <v>13240</v>
      </c>
      <c r="H150" s="183">
        <v>0</v>
      </c>
      <c r="I150" s="184" t="s">
        <v>1643</v>
      </c>
      <c r="J150" s="184" t="s">
        <v>1644</v>
      </c>
      <c r="K150" s="224"/>
      <c r="L150" s="224"/>
      <c r="M150" s="224"/>
      <c r="N150" s="224"/>
      <c r="O150" s="224"/>
      <c r="P150" s="185"/>
      <c r="Q150" s="225" t="s">
        <v>15815</v>
      </c>
      <c r="R150" s="182" t="str">
        <f ca="1">IF(ISERROR($V150),"",OFFSET('Smelter Look-up'!$C$4,$V150-4,0)&amp;"")</f>
        <v>Rand Refinery (Pty) Ltd.</v>
      </c>
      <c r="S150" s="181" t="str">
        <f t="shared" ca="1" si="21"/>
        <v>ZA</v>
      </c>
      <c r="T150" s="181" t="str">
        <f ca="1">IF(B150="","",IF(ISERROR(MATCH($J150,SorP!$B$1:$B$6279,0)),"",INDIRECT("'SorP'!$A$"&amp;MATCH($S150&amp;$J150,SorP!C:C,0))))</f>
        <v>ZA-GP</v>
      </c>
      <c r="U150" s="201"/>
      <c r="V150" s="226">
        <f>IF(C150="",NA(),IF(OR(C150="Smelter not listed",C150="Smelter not yet identified"),MATCH($B150&amp;$D150,'Smelter Look-up'!$J:$J,0),MATCH($B150&amp;$C150,'Smelter Look-up'!$J:$J,0)))</f>
        <v>215</v>
      </c>
      <c r="X150" s="227">
        <f t="shared" si="22"/>
        <v>0</v>
      </c>
      <c r="AB150" s="228" t="str">
        <f t="shared" si="23"/>
        <v>GoldRand Refinery (Pty) Ltd.</v>
      </c>
    </row>
    <row r="151" spans="1:28" s="227" customFormat="1" ht="191.25">
      <c r="A151" s="181" t="s">
        <v>758</v>
      </c>
      <c r="B151" s="182" t="s">
        <v>1127</v>
      </c>
      <c r="C151" s="186" t="s">
        <v>15837</v>
      </c>
      <c r="D151" s="230"/>
      <c r="E151" s="182" t="s">
        <v>1096</v>
      </c>
      <c r="F151" s="182" t="s">
        <v>758</v>
      </c>
      <c r="G151" s="182" t="s">
        <v>13240</v>
      </c>
      <c r="H151" s="183">
        <v>0</v>
      </c>
      <c r="I151" s="184" t="s">
        <v>1732</v>
      </c>
      <c r="J151" s="184" t="s">
        <v>13623</v>
      </c>
      <c r="K151" s="224"/>
      <c r="L151" s="224"/>
      <c r="M151" s="224"/>
      <c r="N151" s="224"/>
      <c r="O151" s="224"/>
      <c r="P151" s="185"/>
      <c r="Q151" s="225" t="s">
        <v>15815</v>
      </c>
      <c r="R151" s="182" t="str">
        <f ca="1">IF(ISERROR($V151),"",OFFSET('Smelter Look-up'!$C$4,$V151-4,0)&amp;"")</f>
        <v/>
      </c>
      <c r="S151" s="181" t="str">
        <f t="shared" ca="1" si="21"/>
        <v>CN</v>
      </c>
      <c r="T151" s="181" t="str">
        <f ca="1">IF(B151="","",IF(ISERROR(MATCH($J151,SorP!$B$1:$B$6279,0)),"",INDIRECT("'SorP'!$A$"&amp;MATCH($S151&amp;$J151,SorP!C:C,0))))</f>
        <v>CN-HN</v>
      </c>
      <c r="U151" s="201"/>
      <c r="V151" s="226" t="e">
        <f>IF(C151="",NA(),IF(OR(C151="Smelter not listed",C151="Smelter not yet identified"),MATCH($B151&amp;$D151,'Smelter Look-up'!$J:$J,0),MATCH($B151&amp;$C151,'Smelter Look-up'!$J:$J,0)))</f>
        <v>#N/A</v>
      </c>
      <c r="X151" s="227">
        <f t="shared" si="22"/>
        <v>0</v>
      </c>
      <c r="AB151" s="228" t="str">
        <f t="shared" si="23"/>
        <v>TantalumRFH Tantalum Smeltery Co., Ltd./Yanling Jincheng Tantalum &amp; Niobium Co., Ltd.</v>
      </c>
    </row>
    <row r="152" spans="1:28" s="227" customFormat="1" ht="51">
      <c r="A152" s="181" t="s">
        <v>722</v>
      </c>
      <c r="B152" s="182" t="s">
        <v>1125</v>
      </c>
      <c r="C152" s="186" t="s">
        <v>909</v>
      </c>
      <c r="D152" s="230"/>
      <c r="E152" s="182" t="s">
        <v>1093</v>
      </c>
      <c r="F152" s="182" t="s">
        <v>722</v>
      </c>
      <c r="G152" s="182" t="s">
        <v>13240</v>
      </c>
      <c r="H152" s="183">
        <v>0</v>
      </c>
      <c r="I152" s="184" t="s">
        <v>1645</v>
      </c>
      <c r="J152" s="184" t="s">
        <v>1603</v>
      </c>
      <c r="K152" s="224"/>
      <c r="L152" s="224"/>
      <c r="M152" s="224"/>
      <c r="N152" s="224"/>
      <c r="O152" s="224"/>
      <c r="P152" s="185"/>
      <c r="Q152" s="225" t="s">
        <v>15815</v>
      </c>
      <c r="R152" s="182" t="str">
        <f ca="1">IF(ISERROR($V152),"",OFFSET('Smelter Look-up'!$C$4,$V152-4,0)&amp;"")</f>
        <v>Royal Canadian Mint</v>
      </c>
      <c r="S152" s="181" t="str">
        <f t="shared" ca="1" si="21"/>
        <v>CA</v>
      </c>
      <c r="T152" s="181" t="str">
        <f ca="1">IF(B152="","",IF(ISERROR(MATCH($J152,SorP!$B$1:$B$6279,0)),"",INDIRECT("'SorP'!$A$"&amp;MATCH($S152&amp;$J152,SorP!C:C,0))))</f>
        <v>CA-ON</v>
      </c>
      <c r="U152" s="201"/>
      <c r="V152" s="226">
        <f>IF(C152="",NA(),IF(OR(C152="Smelter not listed",C152="Smelter not yet identified"),MATCH($B152&amp;$D152,'Smelter Look-up'!$J:$J,0),MATCH($B152&amp;$C152,'Smelter Look-up'!$J:$J,0)))</f>
        <v>220</v>
      </c>
      <c r="X152" s="227">
        <f t="shared" si="22"/>
        <v>0</v>
      </c>
      <c r="AB152" s="228" t="str">
        <f t="shared" si="23"/>
        <v>GoldRoyal Canadian Mint</v>
      </c>
    </row>
    <row r="153" spans="1:28" s="227" customFormat="1" ht="25.5">
      <c r="A153" s="181" t="s">
        <v>783</v>
      </c>
      <c r="B153" s="182" t="s">
        <v>1126</v>
      </c>
      <c r="C153" s="186" t="s">
        <v>782</v>
      </c>
      <c r="D153" s="230"/>
      <c r="E153" s="182" t="s">
        <v>2431</v>
      </c>
      <c r="F153" s="182" t="s">
        <v>783</v>
      </c>
      <c r="G153" s="182" t="s">
        <v>13240</v>
      </c>
      <c r="H153" s="183">
        <v>0</v>
      </c>
      <c r="I153" s="184" t="s">
        <v>13829</v>
      </c>
      <c r="J153" s="184" t="s">
        <v>1701</v>
      </c>
      <c r="K153" s="224"/>
      <c r="L153" s="224"/>
      <c r="M153" s="224"/>
      <c r="N153" s="224"/>
      <c r="O153" s="224"/>
      <c r="P153" s="185"/>
      <c r="Q153" s="225" t="s">
        <v>15815</v>
      </c>
      <c r="R153" s="182" t="str">
        <f ca="1">IF(ISERROR($V153),"",OFFSET('Smelter Look-up'!$C$4,$V153-4,0)&amp;"")</f>
        <v>Rui Da Hung</v>
      </c>
      <c r="S153" s="181" t="str">
        <f t="shared" ca="1" si="21"/>
        <v>TW</v>
      </c>
      <c r="T153" s="181" t="str">
        <f ca="1">IF(B153="","",IF(ISERROR(MATCH($J153,SorP!$B$1:$B$6279,0)),"",INDIRECT("'SorP'!$A$"&amp;MATCH($S153&amp;$J153,SorP!C:C,0))))</f>
        <v>TW-TAO</v>
      </c>
      <c r="U153" s="201"/>
      <c r="V153" s="226">
        <f>IF(C153="",NA(),IF(OR(C153="Smelter not listed",C153="Smelter not yet identified"),MATCH($B153&amp;$D153,'Smelter Look-up'!$J:$J,0),MATCH($B153&amp;$C153,'Smelter Look-up'!$J:$J,0)))</f>
        <v>521</v>
      </c>
      <c r="X153" s="227">
        <f t="shared" si="22"/>
        <v>0</v>
      </c>
      <c r="AB153" s="228" t="str">
        <f t="shared" si="23"/>
        <v>TinRui Da Hung</v>
      </c>
    </row>
    <row r="154" spans="1:28" s="227" customFormat="1" ht="38.25">
      <c r="A154" s="181" t="s">
        <v>723</v>
      </c>
      <c r="B154" s="182" t="s">
        <v>1125</v>
      </c>
      <c r="C154" s="186" t="s">
        <v>1160</v>
      </c>
      <c r="D154" s="230"/>
      <c r="E154" s="182" t="s">
        <v>2432</v>
      </c>
      <c r="F154" s="182" t="s">
        <v>723</v>
      </c>
      <c r="G154" s="182" t="s">
        <v>13240</v>
      </c>
      <c r="H154" s="183"/>
      <c r="I154" s="184" t="s">
        <v>1646</v>
      </c>
      <c r="J154" s="184" t="s">
        <v>1647</v>
      </c>
      <c r="K154" s="224"/>
      <c r="L154" s="224"/>
      <c r="M154" s="224"/>
      <c r="N154" s="224"/>
      <c r="O154" s="224"/>
      <c r="P154" s="185"/>
      <c r="Q154" s="225"/>
      <c r="R154" s="182" t="str">
        <f ca="1">IF(ISERROR($V154),"",OFFSET('Smelter Look-up'!$C$4,$V154-4,0)&amp;"")</f>
        <v>Sabin Metal Corp.</v>
      </c>
      <c r="S154" s="181" t="str">
        <f t="shared" ca="1" si="21"/>
        <v>US</v>
      </c>
      <c r="T154" s="181" t="str">
        <f ca="1">IF(B154="","",IF(ISERROR(MATCH($J154,SorP!$B$1:$B$6279,0)),"",INDIRECT("'SorP'!$A$"&amp;MATCH($S154&amp;$J154,SorP!C:C,0))))</f>
        <v>US-ND</v>
      </c>
      <c r="U154" s="201"/>
      <c r="V154" s="226">
        <f>IF(C154="",NA(),IF(OR(C154="Smelter not listed",C154="Smelter not yet identified"),MATCH($B154&amp;$D154,'Smelter Look-up'!$J:$J,0),MATCH($B154&amp;$C154,'Smelter Look-up'!$J:$J,0)))</f>
        <v>222</v>
      </c>
      <c r="X154" s="227">
        <f t="shared" si="22"/>
        <v>0</v>
      </c>
      <c r="AB154" s="228" t="str">
        <f t="shared" si="23"/>
        <v>GoldSabin Metal Corp.</v>
      </c>
    </row>
    <row r="155" spans="1:28" s="227" customFormat="1" ht="51">
      <c r="A155" s="181" t="s">
        <v>1404</v>
      </c>
      <c r="B155" s="182" t="s">
        <v>1125</v>
      </c>
      <c r="C155" s="186" t="s">
        <v>1403</v>
      </c>
      <c r="D155" s="230"/>
      <c r="E155" s="182" t="s">
        <v>1107</v>
      </c>
      <c r="F155" s="182" t="s">
        <v>1404</v>
      </c>
      <c r="G155" s="182" t="s">
        <v>13240</v>
      </c>
      <c r="H155" s="183">
        <v>0</v>
      </c>
      <c r="I155" s="184" t="s">
        <v>1571</v>
      </c>
      <c r="J155" s="184" t="s">
        <v>12866</v>
      </c>
      <c r="K155" s="224"/>
      <c r="L155" s="224"/>
      <c r="M155" s="224"/>
      <c r="N155" s="224"/>
      <c r="O155" s="224"/>
      <c r="P155" s="185"/>
      <c r="Q155" s="225" t="s">
        <v>15815</v>
      </c>
      <c r="R155" s="182" t="str">
        <f ca="1">IF(ISERROR($V155),"",OFFSET('Smelter Look-up'!$C$4,$V155-4,0)&amp;"")</f>
        <v>Samduck Precious Metals</v>
      </c>
      <c r="S155" s="181" t="str">
        <f t="shared" ca="1" si="21"/>
        <v>KR</v>
      </c>
      <c r="T155" s="181" t="str">
        <f ca="1">IF(B155="","",IF(ISERROR(MATCH($J155,SorP!$B$1:$B$6279,0)),"",INDIRECT("'SorP'!$A$"&amp;MATCH($S155&amp;$J155,SorP!C:C,0))))</f>
        <v>KR-28</v>
      </c>
      <c r="U155" s="201"/>
      <c r="V155" s="226">
        <f>IF(C155="",NA(),IF(OR(C155="Smelter not listed",C155="Smelter not yet identified"),MATCH($B155&amp;$D155,'Smelter Look-up'!$J:$J,0),MATCH($B155&amp;$C155,'Smelter Look-up'!$J:$J,0)))</f>
        <v>229</v>
      </c>
      <c r="X155" s="227">
        <f t="shared" si="22"/>
        <v>0</v>
      </c>
      <c r="AB155" s="228" t="str">
        <f t="shared" si="23"/>
        <v>GoldSamduck Precious Metals</v>
      </c>
    </row>
    <row r="156" spans="1:28" s="227" customFormat="1" ht="51">
      <c r="A156" s="181" t="s">
        <v>724</v>
      </c>
      <c r="B156" s="182" t="s">
        <v>1125</v>
      </c>
      <c r="C156" s="186" t="s">
        <v>2443</v>
      </c>
      <c r="D156" s="230"/>
      <c r="E156" s="182" t="s">
        <v>1107</v>
      </c>
      <c r="F156" s="182" t="s">
        <v>724</v>
      </c>
      <c r="G156" s="182" t="s">
        <v>13240</v>
      </c>
      <c r="H156" s="183"/>
      <c r="I156" s="184" t="s">
        <v>1650</v>
      </c>
      <c r="J156" s="184" t="s">
        <v>12873</v>
      </c>
      <c r="K156" s="224"/>
      <c r="L156" s="224"/>
      <c r="M156" s="224"/>
      <c r="N156" s="224"/>
      <c r="O156" s="224"/>
      <c r="P156" s="185"/>
      <c r="Q156" s="225"/>
      <c r="R156" s="182" t="str">
        <f ca="1">IF(ISERROR($V156),"",OFFSET('Smelter Look-up'!$C$4,$V156-4,0)&amp;"")</f>
        <v>Samwon Metals Corp.</v>
      </c>
      <c r="S156" s="181" t="str">
        <f t="shared" ca="1" si="21"/>
        <v>KR</v>
      </c>
      <c r="T156" s="181" t="str">
        <f ca="1">IF(B156="","",IF(ISERROR(MATCH($J156,SorP!$B$1:$B$6279,0)),"",INDIRECT("'SorP'!$A$"&amp;MATCH($S156&amp;$J156,SorP!C:C,0))))</f>
        <v>KR-48</v>
      </c>
      <c r="U156" s="201"/>
      <c r="V156" s="226">
        <f>IF(C156="",NA(),IF(OR(C156="Smelter not listed",C156="Smelter not yet identified"),MATCH($B156&amp;$D156,'Smelter Look-up'!$J:$J,0),MATCH($B156&amp;$C156,'Smelter Look-up'!$J:$J,0)))</f>
        <v>230</v>
      </c>
      <c r="X156" s="227">
        <f t="shared" si="22"/>
        <v>0</v>
      </c>
      <c r="AB156" s="228" t="str">
        <f t="shared" si="23"/>
        <v>GoldSamwon Metals Corp.</v>
      </c>
    </row>
    <row r="157" spans="1:28" s="227" customFormat="1" ht="51">
      <c r="A157" s="181" t="s">
        <v>15967</v>
      </c>
      <c r="B157" s="182" t="s">
        <v>1125</v>
      </c>
      <c r="C157" s="186" t="s">
        <v>15968</v>
      </c>
      <c r="D157" s="230"/>
      <c r="E157" s="182" t="s">
        <v>1112</v>
      </c>
      <c r="F157" s="182" t="s">
        <v>15967</v>
      </c>
      <c r="G157" s="182" t="s">
        <v>15883</v>
      </c>
      <c r="H157" s="183">
        <v>0</v>
      </c>
      <c r="I157" s="184" t="s">
        <v>15969</v>
      </c>
      <c r="J157" s="184" t="s">
        <v>8899</v>
      </c>
      <c r="K157" s="224"/>
      <c r="L157" s="224"/>
      <c r="M157" s="224" t="s">
        <v>15931</v>
      </c>
      <c r="N157" s="224"/>
      <c r="O157" s="224" t="s">
        <v>15932</v>
      </c>
      <c r="P157" s="185" t="s">
        <v>489</v>
      </c>
      <c r="Q157" s="225" t="s">
        <v>15933</v>
      </c>
      <c r="R157" s="182" t="str">
        <f ca="1">IF(ISERROR($V157),"",OFFSET('Smelter Look-up'!$C$4,$V157-4,0)&amp;"")</f>
        <v/>
      </c>
      <c r="S157" s="181" t="str">
        <f t="shared" ca="1" si="21"/>
        <v>NL</v>
      </c>
      <c r="T157" s="181" t="str">
        <f ca="1">IF(B157="","",IF(ISERROR(MATCH($J157,SorP!$B$1:$B$6279,0)),"",INDIRECT("'SorP'!$A$"&amp;MATCH($S157&amp;$J157,SorP!C:C,0))))</f>
        <v>NL-NH</v>
      </c>
      <c r="U157" s="201"/>
      <c r="V157" s="226" t="e">
        <f>IF(C157="",NA(),IF(OR(C157="Smelter not listed",C157="Smelter not yet identified"),MATCH($B157&amp;$D157,'Smelter Look-up'!$J:$J,0),MATCH($B157&amp;$C157,'Smelter Look-up'!$J:$J,0)))</f>
        <v>#N/A</v>
      </c>
      <c r="X157" s="227">
        <f t="shared" si="22"/>
        <v>0</v>
      </c>
      <c r="AB157" s="228" t="str">
        <f t="shared" si="23"/>
        <v>GoldSchone Edelmetaal B.V.</v>
      </c>
    </row>
    <row r="158" spans="1:28" s="227" customFormat="1" ht="63.75">
      <c r="A158" s="181" t="s">
        <v>725</v>
      </c>
      <c r="B158" s="182" t="s">
        <v>1125</v>
      </c>
      <c r="C158" s="186" t="s">
        <v>12433</v>
      </c>
      <c r="D158" s="230"/>
      <c r="E158" s="182" t="s">
        <v>1098</v>
      </c>
      <c r="F158" s="182" t="s">
        <v>725</v>
      </c>
      <c r="G158" s="182" t="s">
        <v>13240</v>
      </c>
      <c r="H158" s="183">
        <v>0</v>
      </c>
      <c r="I158" s="184" t="s">
        <v>1651</v>
      </c>
      <c r="J158" s="184" t="s">
        <v>4670</v>
      </c>
      <c r="K158" s="224"/>
      <c r="L158" s="224"/>
      <c r="M158" s="224"/>
      <c r="N158" s="224"/>
      <c r="O158" s="224"/>
      <c r="P158" s="185"/>
      <c r="Q158" s="225" t="s">
        <v>15815</v>
      </c>
      <c r="R158" s="182" t="str">
        <f ca="1">IF(ISERROR($V158),"",OFFSET('Smelter Look-up'!$C$4,$V158-4,0)&amp;"")</f>
        <v>SEMPSA Joyeria Plateria S.A.</v>
      </c>
      <c r="S158" s="181" t="str">
        <f t="shared" ca="1" si="21"/>
        <v>ES</v>
      </c>
      <c r="T158" s="181" t="str">
        <f ca="1">IF(B158="","",IF(ISERROR(MATCH($J158,SorP!$B$1:$B$6279,0)),"",INDIRECT("'SorP'!$A$"&amp;MATCH($S158&amp;$J158,SorP!C:C,0))))</f>
        <v>ES-MD</v>
      </c>
      <c r="U158" s="201"/>
      <c r="V158" s="226">
        <f>IF(C158="",NA(),IF(OR(C158="Smelter not listed",C158="Smelter not yet identified"),MATCH($B158&amp;$D158,'Smelter Look-up'!$J:$J,0),MATCH($B158&amp;$C158,'Smelter Look-up'!$J:$J,0)))</f>
        <v>234</v>
      </c>
      <c r="X158" s="227">
        <f t="shared" si="22"/>
        <v>0</v>
      </c>
      <c r="AB158" s="228" t="str">
        <f t="shared" si="23"/>
        <v>GoldSEMPSA Joyeria Plateria S.A.</v>
      </c>
    </row>
    <row r="159" spans="1:28" s="227" customFormat="1" ht="114.75">
      <c r="A159" s="181" t="s">
        <v>1654</v>
      </c>
      <c r="B159" s="182" t="s">
        <v>1125</v>
      </c>
      <c r="C159" s="186" t="s">
        <v>1653</v>
      </c>
      <c r="D159" s="230"/>
      <c r="E159" s="182" t="s">
        <v>1096</v>
      </c>
      <c r="F159" s="182" t="s">
        <v>1654</v>
      </c>
      <c r="G159" s="182" t="s">
        <v>13240</v>
      </c>
      <c r="H159" s="183">
        <v>0</v>
      </c>
      <c r="I159" s="184" t="s">
        <v>1655</v>
      </c>
      <c r="J159" s="184" t="s">
        <v>13620</v>
      </c>
      <c r="K159" s="224"/>
      <c r="L159" s="224"/>
      <c r="M159" s="224"/>
      <c r="N159" s="224"/>
      <c r="O159" s="224"/>
      <c r="P159" s="185"/>
      <c r="Q159" s="225"/>
      <c r="R159" s="182" t="str">
        <f ca="1">IF(ISERROR($V159),"",OFFSET('Smelter Look-up'!$C$4,$V159-4,0)&amp;"")</f>
        <v>Shandong Tiancheng Biological Gold Industrial Co., Ltd.</v>
      </c>
      <c r="S159" s="181" t="str">
        <f t="shared" ca="1" si="21"/>
        <v>CN</v>
      </c>
      <c r="T159" s="181" t="str">
        <f ca="1">IF(B159="","",IF(ISERROR(MATCH($J159,SorP!$B$1:$B$6279,0)),"",INDIRECT("'SorP'!$A$"&amp;MATCH($S159&amp;$J159,SorP!C:C,0))))</f>
        <v>CN-SD</v>
      </c>
      <c r="U159" s="201"/>
      <c r="V159" s="226">
        <f>IF(C159="",NA(),IF(OR(C159="Smelter not listed",C159="Smelter not yet identified"),MATCH($B159&amp;$D159,'Smelter Look-up'!$J:$J,0),MATCH($B159&amp;$C159,'Smelter Look-up'!$J:$J,0)))</f>
        <v>245</v>
      </c>
      <c r="X159" s="227">
        <f t="shared" si="22"/>
        <v>0</v>
      </c>
      <c r="AB159" s="228" t="str">
        <f t="shared" si="23"/>
        <v>GoldShandong Tiancheng Biological Gold Industrial Co., Ltd.</v>
      </c>
    </row>
    <row r="160" spans="1:28" s="227" customFormat="1" ht="102">
      <c r="A160" s="181" t="s">
        <v>726</v>
      </c>
      <c r="B160" s="182" t="s">
        <v>1125</v>
      </c>
      <c r="C160" s="186" t="s">
        <v>2160</v>
      </c>
      <c r="D160" s="230"/>
      <c r="E160" s="182" t="s">
        <v>1096</v>
      </c>
      <c r="F160" s="182" t="s">
        <v>726</v>
      </c>
      <c r="G160" s="182" t="s">
        <v>13240</v>
      </c>
      <c r="H160" s="183">
        <v>0</v>
      </c>
      <c r="I160" s="184" t="s">
        <v>1585</v>
      </c>
      <c r="J160" s="184" t="s">
        <v>13620</v>
      </c>
      <c r="K160" s="224"/>
      <c r="L160" s="224"/>
      <c r="M160" s="224"/>
      <c r="N160" s="224"/>
      <c r="O160" s="224"/>
      <c r="P160" s="185"/>
      <c r="Q160" s="225" t="s">
        <v>15815</v>
      </c>
      <c r="R160" s="182" t="str">
        <f ca="1">IF(ISERROR($V160),"",OFFSET('Smelter Look-up'!$C$4,$V160-4,0)&amp;"")</f>
        <v>Shandong Zhaojin Gold &amp; Silver Refinery Co., Ltd.</v>
      </c>
      <c r="S160" s="181" t="str">
        <f t="shared" ca="1" si="21"/>
        <v>CN</v>
      </c>
      <c r="T160" s="181" t="str">
        <f ca="1">IF(B160="","",IF(ISERROR(MATCH($J160,SorP!$B$1:$B$6279,0)),"",INDIRECT("'SorP'!$A$"&amp;MATCH($S160&amp;$J160,SorP!C:C,0))))</f>
        <v>CN-SD</v>
      </c>
      <c r="U160" s="201"/>
      <c r="V160" s="226">
        <f>IF(C160="",NA(),IF(OR(C160="Smelter not listed",C160="Smelter not yet identified"),MATCH($B160&amp;$D160,'Smelter Look-up'!$J:$J,0),MATCH($B160&amp;$C160,'Smelter Look-up'!$J:$J,0)))</f>
        <v>246</v>
      </c>
      <c r="X160" s="227">
        <f t="shared" si="22"/>
        <v>0</v>
      </c>
      <c r="AB160" s="228" t="str">
        <f t="shared" si="23"/>
        <v>GoldShandong Zhaojin Gold &amp; Silver Refinery Co., Ltd.</v>
      </c>
    </row>
    <row r="161" spans="1:28" s="227" customFormat="1" ht="89.25">
      <c r="A161" s="181" t="s">
        <v>1387</v>
      </c>
      <c r="B161" s="182" t="s">
        <v>1125</v>
      </c>
      <c r="C161" s="186" t="s">
        <v>2161</v>
      </c>
      <c r="D161" s="230"/>
      <c r="E161" s="182" t="s">
        <v>1096</v>
      </c>
      <c r="F161" s="182" t="s">
        <v>1387</v>
      </c>
      <c r="G161" s="182" t="s">
        <v>13240</v>
      </c>
      <c r="H161" s="183">
        <v>0</v>
      </c>
      <c r="I161" s="184" t="s">
        <v>1659</v>
      </c>
      <c r="J161" s="184" t="s">
        <v>13626</v>
      </c>
      <c r="K161" s="224"/>
      <c r="L161" s="224"/>
      <c r="M161" s="224"/>
      <c r="N161" s="224"/>
      <c r="O161" s="224"/>
      <c r="P161" s="185"/>
      <c r="Q161" s="225" t="s">
        <v>15815</v>
      </c>
      <c r="R161" s="182" t="str">
        <f ca="1">IF(ISERROR($V161),"",OFFSET('Smelter Look-up'!$C$4,$V161-4,0)&amp;"")</f>
        <v>Sichuan Tianze Precious Metals Co., Ltd.</v>
      </c>
      <c r="S161" s="181" t="str">
        <f t="shared" ca="1" si="21"/>
        <v>CN</v>
      </c>
      <c r="T161" s="181" t="str">
        <f ca="1">IF(B161="","",IF(ISERROR(MATCH($J161,SorP!$B$1:$B$6279,0)),"",INDIRECT("'SorP'!$A$"&amp;MATCH($S161&amp;$J161,SorP!C:C,0))))</f>
        <v>CN-SC</v>
      </c>
      <c r="U161" s="201"/>
      <c r="V161" s="226">
        <f>IF(C161="",NA(),IF(OR(C161="Smelter not listed",C161="Smelter not yet identified"),MATCH($B161&amp;$D161,'Smelter Look-up'!$J:$J,0),MATCH($B161&amp;$C161,'Smelter Look-up'!$J:$J,0)))</f>
        <v>253</v>
      </c>
      <c r="X161" s="227">
        <f t="shared" si="22"/>
        <v>0</v>
      </c>
      <c r="AB161" s="228" t="str">
        <f t="shared" si="23"/>
        <v>GoldSichuan Tianze Precious Metals Co., Ltd.</v>
      </c>
    </row>
    <row r="162" spans="1:28" s="227" customFormat="1" ht="114.75">
      <c r="A162" s="181" t="s">
        <v>727</v>
      </c>
      <c r="B162" s="182" t="s">
        <v>1125</v>
      </c>
      <c r="C162" s="186" t="s">
        <v>910</v>
      </c>
      <c r="D162" s="230"/>
      <c r="E162" s="182" t="s">
        <v>879</v>
      </c>
      <c r="F162" s="182" t="s">
        <v>727</v>
      </c>
      <c r="G162" s="182" t="s">
        <v>13240</v>
      </c>
      <c r="H162" s="183">
        <v>0</v>
      </c>
      <c r="I162" s="184" t="s">
        <v>1660</v>
      </c>
      <c r="J162" s="184" t="s">
        <v>9959</v>
      </c>
      <c r="K162" s="224"/>
      <c r="L162" s="224"/>
      <c r="M162" s="224"/>
      <c r="N162" s="224"/>
      <c r="O162" s="224"/>
      <c r="P162" s="185"/>
      <c r="Q162" s="225" t="s">
        <v>15815</v>
      </c>
      <c r="R162" s="182" t="str">
        <f ca="1">IF(ISERROR($V162),"",OFFSET('Smelter Look-up'!$C$4,$V162-4,0)&amp;"")</f>
        <v>SOE Shyolkovsky Factory of Secondary Precious Metals</v>
      </c>
      <c r="S162" s="181" t="str">
        <f t="shared" ca="1" si="21"/>
        <v>RU</v>
      </c>
      <c r="T162" s="181" t="str">
        <f ca="1">IF(B162="","",IF(ISERROR(MATCH($J162,SorP!$B$1:$B$6279,0)),"",INDIRECT("'SorP'!$A$"&amp;MATCH($S162&amp;$J162,SorP!C:C,0))))</f>
        <v>RU-MOS</v>
      </c>
      <c r="U162" s="201"/>
      <c r="V162" s="226">
        <f>IF(C162="",NA(),IF(OR(C162="Smelter not listed",C162="Smelter not yet identified"),MATCH($B162&amp;$D162,'Smelter Look-up'!$J:$J,0),MATCH($B162&amp;$C162,'Smelter Look-up'!$J:$J,0)))</f>
        <v>257</v>
      </c>
      <c r="X162" s="227">
        <f t="shared" si="22"/>
        <v>0</v>
      </c>
      <c r="AB162" s="228" t="str">
        <f t="shared" si="23"/>
        <v>GoldSOE Shyolkovsky Factory of Secondary Precious Metals</v>
      </c>
    </row>
    <row r="163" spans="1:28" s="227" customFormat="1" ht="38.25">
      <c r="A163" s="181" t="s">
        <v>15847</v>
      </c>
      <c r="B163" s="182" t="s">
        <v>1126</v>
      </c>
      <c r="C163" s="186" t="s">
        <v>15848</v>
      </c>
      <c r="D163" s="230"/>
      <c r="E163" s="182" t="s">
        <v>1092</v>
      </c>
      <c r="F163" s="182" t="s">
        <v>15847</v>
      </c>
      <c r="G163" s="182" t="s">
        <v>13240</v>
      </c>
      <c r="H163" s="183">
        <v>0</v>
      </c>
      <c r="I163" s="184" t="s">
        <v>15849</v>
      </c>
      <c r="J163" s="184" t="s">
        <v>1674</v>
      </c>
      <c r="K163" s="224"/>
      <c r="L163" s="224"/>
      <c r="M163" s="224"/>
      <c r="N163" s="224"/>
      <c r="O163" s="224"/>
      <c r="P163" s="185"/>
      <c r="Q163" s="225" t="s">
        <v>15815</v>
      </c>
      <c r="R163" s="182" t="str">
        <f ca="1">IF(ISERROR($V163),"",OFFSET('Smelter Look-up'!$C$4,$V163-4,0)&amp;"")</f>
        <v/>
      </c>
      <c r="S163" s="181" t="str">
        <f t="shared" ca="1" si="21"/>
        <v>BR</v>
      </c>
      <c r="T163" s="181" t="str">
        <f ca="1">IF(B163="","",IF(ISERROR(MATCH($J163,SorP!$B$1:$B$6279,0)),"",INDIRECT("'SorP'!$A$"&amp;MATCH($S163&amp;$J163,SorP!C:C,0))))</f>
        <v>BR-SP</v>
      </c>
      <c r="U163" s="201"/>
      <c r="V163" s="226" t="e">
        <f>IF(C163="",NA(),IF(OR(C163="Smelter not listed",C163="Smelter not yet identified"),MATCH($B163&amp;$D163,'Smelter Look-up'!$J:$J,0),MATCH($B163&amp;$C163,'Smelter Look-up'!$J:$J,0)))</f>
        <v>#N/A</v>
      </c>
      <c r="X163" s="227">
        <f t="shared" si="22"/>
        <v>0</v>
      </c>
      <c r="AB163" s="228" t="str">
        <f t="shared" si="23"/>
        <v>TinSoft Metais Ltda.</v>
      </c>
    </row>
    <row r="164" spans="1:28" s="227" customFormat="1" ht="102">
      <c r="A164" s="181" t="s">
        <v>728</v>
      </c>
      <c r="B164" s="182" t="s">
        <v>1125</v>
      </c>
      <c r="C164" s="186" t="s">
        <v>911</v>
      </c>
      <c r="D164" s="230"/>
      <c r="E164" s="182" t="s">
        <v>2431</v>
      </c>
      <c r="F164" s="182" t="s">
        <v>728</v>
      </c>
      <c r="G164" s="182" t="s">
        <v>13240</v>
      </c>
      <c r="H164" s="183">
        <v>0</v>
      </c>
      <c r="I164" s="184" t="s">
        <v>1661</v>
      </c>
      <c r="J164" s="184" t="s">
        <v>11511</v>
      </c>
      <c r="K164" s="224"/>
      <c r="L164" s="224"/>
      <c r="M164" s="224"/>
      <c r="N164" s="224"/>
      <c r="O164" s="224"/>
      <c r="P164" s="185"/>
      <c r="Q164" s="225" t="s">
        <v>15815</v>
      </c>
      <c r="R164" s="182" t="str">
        <f ca="1">IF(ISERROR($V164),"",OFFSET('Smelter Look-up'!$C$4,$V164-4,0)&amp;"")</f>
        <v>Solar Applied Materials Technology Corp.</v>
      </c>
      <c r="S164" s="181" t="str">
        <f t="shared" ca="1" si="21"/>
        <v>TW</v>
      </c>
      <c r="T164" s="181" t="str">
        <f ca="1">IF(B164="","",IF(ISERROR(MATCH($J164,SorP!$B$1:$B$6279,0)),"",INDIRECT("'SorP'!$A$"&amp;MATCH($S164&amp;$J164,SorP!C:C,0))))</f>
        <v>TW-TNN</v>
      </c>
      <c r="U164" s="201"/>
      <c r="V164" s="226">
        <f>IF(C164="",NA(),IF(OR(C164="Smelter not listed",C164="Smelter not yet identified"),MATCH($B164&amp;$D164,'Smelter Look-up'!$J:$J,0),MATCH($B164&amp;$C164,'Smelter Look-up'!$J:$J,0)))</f>
        <v>258</v>
      </c>
      <c r="X164" s="227">
        <f t="shared" si="22"/>
        <v>0</v>
      </c>
      <c r="AB164" s="228" t="str">
        <f t="shared" si="23"/>
        <v>GoldSolar Applied Materials Technology Corp.</v>
      </c>
    </row>
    <row r="165" spans="1:28" s="227" customFormat="1" ht="89.25">
      <c r="A165" s="181" t="s">
        <v>759</v>
      </c>
      <c r="B165" s="182" t="s">
        <v>1127</v>
      </c>
      <c r="C165" s="186" t="s">
        <v>1373</v>
      </c>
      <c r="D165" s="230"/>
      <c r="E165" s="182" t="s">
        <v>879</v>
      </c>
      <c r="F165" s="182" t="s">
        <v>759</v>
      </c>
      <c r="G165" s="182" t="s">
        <v>13240</v>
      </c>
      <c r="H165" s="183">
        <v>0</v>
      </c>
      <c r="I165" s="184" t="s">
        <v>1733</v>
      </c>
      <c r="J165" s="184" t="s">
        <v>10008</v>
      </c>
      <c r="K165" s="224"/>
      <c r="L165" s="224"/>
      <c r="M165" s="224"/>
      <c r="N165" s="224"/>
      <c r="O165" s="224"/>
      <c r="P165" s="185"/>
      <c r="Q165" s="225" t="s">
        <v>15815</v>
      </c>
      <c r="R165" s="182" t="str">
        <f ca="1">IF(ISERROR($V165),"",OFFSET('Smelter Look-up'!$C$4,$V165-4,0)&amp;"")</f>
        <v>Solikamsk Magnesium Works OAO</v>
      </c>
      <c r="S165" s="181" t="str">
        <f t="shared" ca="1" si="21"/>
        <v>RU</v>
      </c>
      <c r="T165" s="181" t="str">
        <f ca="1">IF(B165="","",IF(ISERROR(MATCH($J165,SorP!$B$1:$B$6279,0)),"",INDIRECT("'SorP'!$A$"&amp;MATCH($S165&amp;$J165,SorP!C:C,0))))</f>
        <v>RU-PER</v>
      </c>
      <c r="U165" s="201"/>
      <c r="V165" s="226">
        <f>IF(C165="",NA(),IF(OR(C165="Smelter not listed",C165="Smelter not yet identified"),MATCH($B165&amp;$D165,'Smelter Look-up'!$J:$J,0),MATCH($B165&amp;$C165,'Smelter Look-up'!$J:$J,0)))</f>
        <v>369</v>
      </c>
      <c r="X165" s="227">
        <f t="shared" si="22"/>
        <v>0</v>
      </c>
      <c r="AB165" s="228" t="str">
        <f t="shared" si="23"/>
        <v>TantalumSolikamsk Magnesium Works OAO</v>
      </c>
    </row>
    <row r="166" spans="1:28" s="227" customFormat="1" ht="76.5">
      <c r="A166" s="181" t="s">
        <v>729</v>
      </c>
      <c r="B166" s="182" t="s">
        <v>1125</v>
      </c>
      <c r="C166" s="186" t="s">
        <v>58</v>
      </c>
      <c r="D166" s="230"/>
      <c r="E166" s="182" t="s">
        <v>1104</v>
      </c>
      <c r="F166" s="182" t="s">
        <v>729</v>
      </c>
      <c r="G166" s="182" t="s">
        <v>13240</v>
      </c>
      <c r="H166" s="183">
        <v>0</v>
      </c>
      <c r="I166" s="184" t="s">
        <v>1662</v>
      </c>
      <c r="J166" s="184" t="s">
        <v>2212</v>
      </c>
      <c r="K166" s="224"/>
      <c r="L166" s="224"/>
      <c r="M166" s="224"/>
      <c r="N166" s="224" t="s">
        <v>15897</v>
      </c>
      <c r="O166" s="224" t="s">
        <v>15897</v>
      </c>
      <c r="P166" s="185" t="s">
        <v>488</v>
      </c>
      <c r="Q166" s="225" t="s">
        <v>15899</v>
      </c>
      <c r="R166" s="182" t="str">
        <f ca="1">IF(ISERROR($V166),"",OFFSET('Smelter Look-up'!$C$4,$V166-4,0)&amp;"")</f>
        <v>Sumitomo Metal Mining Co., Ltd.</v>
      </c>
      <c r="S166" s="181" t="str">
        <f t="shared" ref="S166:S196" ca="1" si="24">IF(B166="","",IF(ISERROR(MATCH($E166,CL,0)),"Unknown",INDIRECT("'C'!$A$"&amp;MATCH($E166,CL,0)+1)))</f>
        <v>JP</v>
      </c>
      <c r="T166" s="181" t="str">
        <f ca="1">IF(B166="","",IF(ISERROR(MATCH($J166,SorP!$B$1:$B$6279,0)),"",INDIRECT("'SorP'!$A$"&amp;MATCH($S166&amp;$J166,SorP!C:C,0))))</f>
        <v>JP-38</v>
      </c>
      <c r="U166" s="201"/>
      <c r="V166" s="226">
        <f>IF(C166="",NA(),IF(OR(C166="Smelter not listed",C166="Smelter not yet identified"),MATCH($B166&amp;$D166,'Smelter Look-up'!$J:$J,0),MATCH($B166&amp;$C166,'Smelter Look-up'!$J:$J,0)))</f>
        <v>265</v>
      </c>
      <c r="X166" s="227">
        <f t="shared" ref="X166:X196" si="25">IF(AND(C166="Smelter not listed",OR(LEN(D166)=0,LEN(E166)=0)),1,0)</f>
        <v>0</v>
      </c>
      <c r="AB166" s="228" t="str">
        <f t="shared" ref="AB166:AB196" si="26">B166&amp;C166</f>
        <v>GoldSumitomo Metal Mining Co., Ltd.</v>
      </c>
    </row>
    <row r="167" spans="1:28" s="227" customFormat="1" ht="63.75">
      <c r="A167" s="181" t="s">
        <v>760</v>
      </c>
      <c r="B167" s="182" t="s">
        <v>1127</v>
      </c>
      <c r="C167" s="186" t="s">
        <v>2445</v>
      </c>
      <c r="D167" s="230"/>
      <c r="E167" s="182" t="s">
        <v>1104</v>
      </c>
      <c r="F167" s="182" t="s">
        <v>760</v>
      </c>
      <c r="G167" s="182" t="s">
        <v>13240</v>
      </c>
      <c r="H167" s="183">
        <v>0</v>
      </c>
      <c r="I167" s="184" t="s">
        <v>1734</v>
      </c>
      <c r="J167" s="184" t="s">
        <v>1551</v>
      </c>
      <c r="K167" s="224"/>
      <c r="L167" s="224"/>
      <c r="M167" s="224"/>
      <c r="N167" s="224"/>
      <c r="O167" s="224"/>
      <c r="P167" s="185"/>
      <c r="Q167" s="225" t="s">
        <v>15815</v>
      </c>
      <c r="R167" s="182" t="str">
        <f ca="1">IF(ISERROR($V167),"",OFFSET('Smelter Look-up'!$C$4,$V167-4,0)&amp;"")</f>
        <v>Taki Chemical Co., Ltd.</v>
      </c>
      <c r="S167" s="181" t="str">
        <f t="shared" ca="1" si="24"/>
        <v>JP</v>
      </c>
      <c r="T167" s="181" t="str">
        <f ca="1">IF(B167="","",IF(ISERROR(MATCH($J167,SorP!$B$1:$B$6279,0)),"",INDIRECT("'SorP'!$A$"&amp;MATCH($S167&amp;$J167,SorP!C:C,0))))</f>
        <v>JP-28</v>
      </c>
      <c r="U167" s="201"/>
      <c r="V167" s="226">
        <f>IF(C167="",NA(),IF(OR(C167="Smelter not listed",C167="Smelter not yet identified"),MATCH($B167&amp;$D167,'Smelter Look-up'!$J:$J,0),MATCH($B167&amp;$C167,'Smelter Look-up'!$J:$J,0)))</f>
        <v>371</v>
      </c>
      <c r="X167" s="227">
        <f t="shared" si="25"/>
        <v>0</v>
      </c>
      <c r="AB167" s="228" t="str">
        <f t="shared" si="26"/>
        <v>TantalumTaki Chemical Co., Ltd.</v>
      </c>
    </row>
    <row r="168" spans="1:28" s="227" customFormat="1" ht="63.75">
      <c r="A168" s="181" t="s">
        <v>730</v>
      </c>
      <c r="B168" s="182" t="s">
        <v>1125</v>
      </c>
      <c r="C168" s="186" t="s">
        <v>1228</v>
      </c>
      <c r="D168" s="230"/>
      <c r="E168" s="182" t="s">
        <v>1104</v>
      </c>
      <c r="F168" s="182" t="s">
        <v>730</v>
      </c>
      <c r="G168" s="182" t="s">
        <v>13240</v>
      </c>
      <c r="H168" s="183">
        <v>0</v>
      </c>
      <c r="I168" s="184" t="s">
        <v>1663</v>
      </c>
      <c r="J168" s="184" t="s">
        <v>1664</v>
      </c>
      <c r="K168" s="224"/>
      <c r="L168" s="224"/>
      <c r="M168" s="224"/>
      <c r="N168" s="224"/>
      <c r="O168" s="224"/>
      <c r="P168" s="185"/>
      <c r="Q168" s="225" t="s">
        <v>15815</v>
      </c>
      <c r="R168" s="182" t="str">
        <f ca="1">IF(ISERROR($V168),"",OFFSET('Smelter Look-up'!$C$4,$V168-4,0)&amp;"")</f>
        <v>Tanaka Kikinzoku Kogyo K.K.</v>
      </c>
      <c r="S168" s="181" t="str">
        <f t="shared" ca="1" si="24"/>
        <v>JP</v>
      </c>
      <c r="T168" s="181" t="str">
        <f ca="1">IF(B168="","",IF(ISERROR(MATCH($J168,SorP!$B$1:$B$6279,0)),"",INDIRECT("'SorP'!$A$"&amp;MATCH($S168&amp;$J168,SorP!C:C,0))))</f>
        <v>JP-14</v>
      </c>
      <c r="U168" s="201"/>
      <c r="V168" s="226">
        <f>IF(C168="",NA(),IF(OR(C168="Smelter not listed",C168="Smelter not yet identified"),MATCH($B168&amp;$D168,'Smelter Look-up'!$J:$J,0),MATCH($B168&amp;$C168,'Smelter Look-up'!$J:$J,0)))</f>
        <v>278</v>
      </c>
      <c r="X168" s="227">
        <f t="shared" si="25"/>
        <v>0</v>
      </c>
      <c r="AB168" s="228" t="str">
        <f t="shared" si="26"/>
        <v>GoldTanaka Kikinzoku Kogyo K.K.</v>
      </c>
    </row>
    <row r="169" spans="1:28" s="227" customFormat="1" ht="89.25">
      <c r="A169" s="181" t="s">
        <v>15864</v>
      </c>
      <c r="B169" s="182" t="s">
        <v>1128</v>
      </c>
      <c r="C169" s="186" t="s">
        <v>15865</v>
      </c>
      <c r="D169" s="230"/>
      <c r="E169" s="182" t="s">
        <v>888</v>
      </c>
      <c r="F169" s="182" t="s">
        <v>15864</v>
      </c>
      <c r="G169" s="182" t="s">
        <v>13240</v>
      </c>
      <c r="H169" s="183">
        <v>0</v>
      </c>
      <c r="I169" s="184" t="s">
        <v>15866</v>
      </c>
      <c r="J169" s="184" t="s">
        <v>12162</v>
      </c>
      <c r="K169" s="224"/>
      <c r="L169" s="224"/>
      <c r="M169" s="224"/>
      <c r="N169" s="224"/>
      <c r="O169" s="224"/>
      <c r="P169" s="185"/>
      <c r="Q169" s="225" t="s">
        <v>15815</v>
      </c>
      <c r="R169" s="182" t="str">
        <f ca="1">IF(ISERROR($V169),"",OFFSET('Smelter Look-up'!$C$4,$V169-4,0)&amp;"")</f>
        <v/>
      </c>
      <c r="S169" s="181" t="str">
        <f t="shared" ca="1" si="24"/>
        <v>VN</v>
      </c>
      <c r="T169" s="181" t="str">
        <f ca="1">IF(B169="","",IF(ISERROR(MATCH($J169,SorP!$B$1:$B$6279,0)),"",INDIRECT("'SorP'!$A$"&amp;MATCH($S169&amp;$J169,SorP!C:C,0))))</f>
        <v>VN-37</v>
      </c>
      <c r="U169" s="201"/>
      <c r="V169" s="226" t="e">
        <f>IF(C169="",NA(),IF(OR(C169="Smelter not listed",C169="Smelter not yet identified"),MATCH($B169&amp;$D169,'Smelter Look-up'!$J:$J,0),MATCH($B169&amp;$C169,'Smelter Look-up'!$J:$J,0)))</f>
        <v>#N/A</v>
      </c>
      <c r="X169" s="227">
        <f t="shared" si="25"/>
        <v>0</v>
      </c>
      <c r="AB169" s="228" t="str">
        <f t="shared" si="26"/>
        <v>TungstenTejing (Vietnam) Tungsten Co., Ltd.</v>
      </c>
    </row>
    <row r="170" spans="1:28" s="227" customFormat="1" ht="38.25">
      <c r="A170" s="181" t="s">
        <v>761</v>
      </c>
      <c r="B170" s="182" t="s">
        <v>1127</v>
      </c>
      <c r="C170" s="186" t="s">
        <v>1735</v>
      </c>
      <c r="D170" s="230"/>
      <c r="E170" s="182" t="s">
        <v>2432</v>
      </c>
      <c r="F170" s="182" t="s">
        <v>761</v>
      </c>
      <c r="G170" s="182" t="s">
        <v>13240</v>
      </c>
      <c r="H170" s="183">
        <v>0</v>
      </c>
      <c r="I170" s="184" t="s">
        <v>1736</v>
      </c>
      <c r="J170" s="184" t="s">
        <v>1737</v>
      </c>
      <c r="K170" s="224"/>
      <c r="L170" s="224"/>
      <c r="M170" s="224"/>
      <c r="N170" s="224"/>
      <c r="O170" s="224"/>
      <c r="P170" s="185"/>
      <c r="Q170" s="225" t="s">
        <v>15815</v>
      </c>
      <c r="R170" s="182" t="str">
        <f ca="1">IF(ISERROR($V170),"",OFFSET('Smelter Look-up'!$C$4,$V170-4,0)&amp;"")</f>
        <v>Telex Metals</v>
      </c>
      <c r="S170" s="181" t="str">
        <f t="shared" ca="1" si="24"/>
        <v>US</v>
      </c>
      <c r="T170" s="181" t="str">
        <f ca="1">IF(B170="","",IF(ISERROR(MATCH($J170,SorP!$B$1:$B$6279,0)),"",INDIRECT("'SorP'!$A$"&amp;MATCH($S170&amp;$J170,SorP!C:C,0))))</f>
        <v>US-PA</v>
      </c>
      <c r="U170" s="201"/>
      <c r="V170" s="226">
        <f>IF(C170="",NA(),IF(OR(C170="Smelter not listed",C170="Smelter not yet identified"),MATCH($B170&amp;$D170,'Smelter Look-up'!$J:$J,0),MATCH($B170&amp;$C170,'Smelter Look-up'!$J:$J,0)))</f>
        <v>377</v>
      </c>
      <c r="X170" s="227">
        <f t="shared" si="25"/>
        <v>0</v>
      </c>
      <c r="AB170" s="228" t="str">
        <f t="shared" si="26"/>
        <v>TantalumTelex Metals</v>
      </c>
    </row>
    <row r="171" spans="1:28" s="227" customFormat="1" ht="38.25">
      <c r="A171" s="181" t="s">
        <v>784</v>
      </c>
      <c r="B171" s="182" t="s">
        <v>1126</v>
      </c>
      <c r="C171" s="186" t="s">
        <v>1027</v>
      </c>
      <c r="D171" s="230"/>
      <c r="E171" s="182" t="s">
        <v>884</v>
      </c>
      <c r="F171" s="182" t="s">
        <v>784</v>
      </c>
      <c r="G171" s="182" t="s">
        <v>13240</v>
      </c>
      <c r="H171" s="183">
        <v>0</v>
      </c>
      <c r="I171" s="184" t="s">
        <v>1795</v>
      </c>
      <c r="J171" s="184" t="s">
        <v>1796</v>
      </c>
      <c r="K171" s="224"/>
      <c r="L171" s="224"/>
      <c r="M171" s="224"/>
      <c r="N171" s="224"/>
      <c r="O171" s="224" t="s">
        <v>15934</v>
      </c>
      <c r="P171" s="185" t="s">
        <v>489</v>
      </c>
      <c r="Q171" s="225" t="s">
        <v>15913</v>
      </c>
      <c r="R171" s="182" t="str">
        <f ca="1">IF(ISERROR($V171),"",OFFSET('Smelter Look-up'!$C$4,$V171-4,0)&amp;"")</f>
        <v>Thaisarco</v>
      </c>
      <c r="S171" s="181" t="str">
        <f t="shared" ca="1" si="24"/>
        <v>TH</v>
      </c>
      <c r="T171" s="181" t="str">
        <f ca="1">IF(B171="","",IF(ISERROR(MATCH($J171,SorP!$B$1:$B$6279,0)),"",INDIRECT("'SorP'!$A$"&amp;MATCH($S171&amp;$J171,SorP!C:C,0))))</f>
        <v>TH-83</v>
      </c>
      <c r="U171" s="201"/>
      <c r="V171" s="226">
        <f>IF(C171="",NA(),IF(OR(C171="Smelter not listed",C171="Smelter not yet identified"),MATCH($B171&amp;$D171,'Smelter Look-up'!$J:$J,0),MATCH($B171&amp;$C171,'Smelter Look-up'!$J:$J,0)))</f>
        <v>526</v>
      </c>
      <c r="X171" s="227">
        <f t="shared" si="25"/>
        <v>0</v>
      </c>
      <c r="AB171" s="228" t="str">
        <f t="shared" si="26"/>
        <v>TinThaisarco</v>
      </c>
    </row>
    <row r="172" spans="1:28" s="227" customFormat="1" ht="102">
      <c r="A172" s="181" t="s">
        <v>1799</v>
      </c>
      <c r="B172" s="182" t="s">
        <v>1126</v>
      </c>
      <c r="C172" s="186" t="s">
        <v>1798</v>
      </c>
      <c r="D172" s="230"/>
      <c r="E172" s="182" t="s">
        <v>1096</v>
      </c>
      <c r="F172" s="182" t="s">
        <v>1799</v>
      </c>
      <c r="G172" s="182" t="s">
        <v>13240</v>
      </c>
      <c r="H172" s="183">
        <v>0</v>
      </c>
      <c r="I172" s="184" t="s">
        <v>2446</v>
      </c>
      <c r="J172" s="184" t="s">
        <v>13628</v>
      </c>
      <c r="K172" s="224"/>
      <c r="L172" s="224"/>
      <c r="M172" s="224"/>
      <c r="N172" s="224"/>
      <c r="O172" s="224"/>
      <c r="P172" s="185"/>
      <c r="Q172" s="225" t="s">
        <v>15815</v>
      </c>
      <c r="R172" s="182" t="str">
        <f ca="1">IF(ISERROR($V172),"",OFFSET('Smelter Look-up'!$C$4,$V172-4,0)&amp;"")</f>
        <v>Gejiu Yunxin Nonferrous Electrolysis Co., Ltd.</v>
      </c>
      <c r="S172" s="181" t="str">
        <f t="shared" ca="1" si="24"/>
        <v>CN</v>
      </c>
      <c r="T172" s="181" t="str">
        <f ca="1">IF(B172="","",IF(ISERROR(MATCH($J172,SorP!$B$1:$B$6279,0)),"",INDIRECT("'SorP'!$A$"&amp;MATCH($S172&amp;$J172,SorP!C:C,0))))</f>
        <v>CN-YN</v>
      </c>
      <c r="U172" s="201"/>
      <c r="V172" s="226">
        <f>IF(C172="",NA(),IF(OR(C172="Smelter not listed",C172="Smelter not yet identified"),MATCH($B172&amp;$D172,'Smelter Look-up'!$J:$J,0),MATCH($B172&amp;$C172,'Smelter Look-up'!$J:$J,0)))</f>
        <v>437</v>
      </c>
      <c r="X172" s="227">
        <f t="shared" si="25"/>
        <v>0</v>
      </c>
      <c r="AB172" s="228" t="str">
        <f t="shared" si="26"/>
        <v>TinGejiu Yunxin Nonferrous Electrolysis Co., Ltd.</v>
      </c>
    </row>
    <row r="173" spans="1:28" s="227" customFormat="1" ht="89.25">
      <c r="A173" s="181" t="s">
        <v>731</v>
      </c>
      <c r="B173" s="182" t="s">
        <v>1125</v>
      </c>
      <c r="C173" s="186" t="s">
        <v>2216</v>
      </c>
      <c r="D173" s="230"/>
      <c r="E173" s="182" t="s">
        <v>1096</v>
      </c>
      <c r="F173" s="182" t="s">
        <v>731</v>
      </c>
      <c r="G173" s="182" t="s">
        <v>13240</v>
      </c>
      <c r="H173" s="183">
        <v>0</v>
      </c>
      <c r="I173" s="184" t="s">
        <v>1659</v>
      </c>
      <c r="J173" s="184" t="s">
        <v>13626</v>
      </c>
      <c r="K173" s="224"/>
      <c r="L173" s="224"/>
      <c r="M173" s="224"/>
      <c r="N173" s="224"/>
      <c r="O173" s="224"/>
      <c r="P173" s="185"/>
      <c r="Q173" s="225"/>
      <c r="R173" s="182" t="str">
        <f ca="1">IF(ISERROR($V173),"",OFFSET('Smelter Look-up'!$C$4,$V173-4,0)&amp;"")</f>
        <v>Great Wall Precious Metals Co., Ltd. of CBPM</v>
      </c>
      <c r="S173" s="181" t="str">
        <f t="shared" ca="1" si="24"/>
        <v>CN</v>
      </c>
      <c r="T173" s="181" t="str">
        <f ca="1">IF(B173="","",IF(ISERROR(MATCH($J173,SorP!$B$1:$B$6279,0)),"",INDIRECT("'SorP'!$A$"&amp;MATCH($S173&amp;$J173,SorP!C:C,0))))</f>
        <v>CN-SC</v>
      </c>
      <c r="U173" s="201"/>
      <c r="V173" s="226">
        <f>IF(C173="",NA(),IF(OR(C173="Smelter not listed",C173="Smelter not yet identified"),MATCH($B173&amp;$D173,'Smelter Look-up'!$J:$J,0),MATCH($B173&amp;$C173,'Smelter Look-up'!$J:$J,0)))</f>
        <v>94</v>
      </c>
      <c r="X173" s="227">
        <f t="shared" si="25"/>
        <v>0</v>
      </c>
      <c r="AB173" s="228" t="str">
        <f t="shared" si="26"/>
        <v>GoldGreat Wall Precious Metals Co., Ltd. of CBPM</v>
      </c>
    </row>
    <row r="174" spans="1:28" s="227" customFormat="1" ht="102">
      <c r="A174" s="181" t="s">
        <v>732</v>
      </c>
      <c r="B174" s="182" t="s">
        <v>1125</v>
      </c>
      <c r="C174" s="186" t="s">
        <v>2162</v>
      </c>
      <c r="D174" s="230"/>
      <c r="E174" s="182" t="s">
        <v>1096</v>
      </c>
      <c r="F174" s="182" t="s">
        <v>732</v>
      </c>
      <c r="G174" s="182" t="s">
        <v>13240</v>
      </c>
      <c r="H174" s="183">
        <v>0</v>
      </c>
      <c r="I174" s="184" t="s">
        <v>1655</v>
      </c>
      <c r="J174" s="184" t="s">
        <v>13620</v>
      </c>
      <c r="K174" s="224"/>
      <c r="L174" s="224"/>
      <c r="M174" s="224"/>
      <c r="N174" s="224"/>
      <c r="O174" s="224"/>
      <c r="P174" s="185"/>
      <c r="Q174" s="225" t="s">
        <v>15815</v>
      </c>
      <c r="R174" s="182" t="str">
        <f ca="1">IF(ISERROR($V174),"",OFFSET('Smelter Look-up'!$C$4,$V174-4,0)&amp;"")</f>
        <v>Shandong Gold Smelting Co., Ltd.</v>
      </c>
      <c r="S174" s="181" t="str">
        <f t="shared" ca="1" si="24"/>
        <v>CN</v>
      </c>
      <c r="T174" s="181" t="str">
        <f ca="1">IF(B174="","",IF(ISERROR(MATCH($J174,SorP!$B$1:$B$6279,0)),"",INDIRECT("'SorP'!$A$"&amp;MATCH($S174&amp;$J174,SorP!C:C,0))))</f>
        <v>CN-SD</v>
      </c>
      <c r="U174" s="201"/>
      <c r="V174" s="226">
        <f>IF(C174="",NA(),IF(OR(C174="Smelter not listed",C174="Smelter not yet identified"),MATCH($B174&amp;$D174,'Smelter Look-up'!$J:$J,0),MATCH($B174&amp;$C174,'Smelter Look-up'!$J:$J,0)))</f>
        <v>282</v>
      </c>
      <c r="X174" s="227">
        <f t="shared" si="25"/>
        <v>0</v>
      </c>
      <c r="AB174" s="228" t="str">
        <f t="shared" si="26"/>
        <v>GoldThe Refinery of Shandong Gold Mining Co., Ltd.</v>
      </c>
    </row>
    <row r="175" spans="1:28" s="227" customFormat="1" ht="63.75">
      <c r="A175" s="181" t="s">
        <v>733</v>
      </c>
      <c r="B175" s="182" t="s">
        <v>1125</v>
      </c>
      <c r="C175" s="186" t="s">
        <v>2163</v>
      </c>
      <c r="D175" s="230"/>
      <c r="E175" s="182" t="s">
        <v>1104</v>
      </c>
      <c r="F175" s="182" t="s">
        <v>733</v>
      </c>
      <c r="G175" s="182" t="s">
        <v>13240</v>
      </c>
      <c r="H175" s="183">
        <v>0</v>
      </c>
      <c r="I175" s="184" t="s">
        <v>1669</v>
      </c>
      <c r="J175" s="184" t="s">
        <v>1580</v>
      </c>
      <c r="K175" s="224"/>
      <c r="L175" s="224"/>
      <c r="M175" s="224"/>
      <c r="N175" s="224"/>
      <c r="O175" s="224"/>
      <c r="P175" s="185"/>
      <c r="Q175" s="225" t="s">
        <v>15815</v>
      </c>
      <c r="R175" s="182" t="str">
        <f ca="1">IF(ISERROR($V175),"",OFFSET('Smelter Look-up'!$C$4,$V175-4,0)&amp;"")</f>
        <v>Tokuriki Honten Co., Ltd.</v>
      </c>
      <c r="S175" s="181" t="str">
        <f t="shared" ca="1" si="24"/>
        <v>JP</v>
      </c>
      <c r="T175" s="181" t="str">
        <f ca="1">IF(B175="","",IF(ISERROR(MATCH($J175,SorP!$B$1:$B$6279,0)),"",INDIRECT("'SorP'!$A$"&amp;MATCH($S175&amp;$J175,SorP!C:C,0))))</f>
        <v>JP-11</v>
      </c>
      <c r="U175" s="201"/>
      <c r="V175" s="226">
        <f>IF(C175="",NA(),IF(OR(C175="Smelter not listed",C175="Smelter not yet identified"),MATCH($B175&amp;$D175,'Smelter Look-up'!$J:$J,0),MATCH($B175&amp;$C175,'Smelter Look-up'!$J:$J,0)))</f>
        <v>283</v>
      </c>
      <c r="X175" s="227">
        <f t="shared" si="25"/>
        <v>0</v>
      </c>
      <c r="AB175" s="228" t="str">
        <f t="shared" si="26"/>
        <v>GoldTokuriki Honten Co., Ltd.</v>
      </c>
    </row>
    <row r="176" spans="1:28" s="227" customFormat="1" ht="102">
      <c r="A176" s="181" t="s">
        <v>734</v>
      </c>
      <c r="B176" s="182" t="s">
        <v>1125</v>
      </c>
      <c r="C176" s="186" t="s">
        <v>2197</v>
      </c>
      <c r="D176" s="230"/>
      <c r="E176" s="182" t="s">
        <v>1096</v>
      </c>
      <c r="F176" s="182" t="s">
        <v>734</v>
      </c>
      <c r="G176" s="182" t="s">
        <v>13240</v>
      </c>
      <c r="H176" s="183">
        <v>0</v>
      </c>
      <c r="I176" s="184" t="s">
        <v>1670</v>
      </c>
      <c r="J176" s="184" t="s">
        <v>13617</v>
      </c>
      <c r="K176" s="224"/>
      <c r="L176" s="224"/>
      <c r="M176" s="224"/>
      <c r="N176" s="224"/>
      <c r="O176" s="224"/>
      <c r="P176" s="185"/>
      <c r="Q176" s="225"/>
      <c r="R176" s="182" t="str">
        <f ca="1">IF(ISERROR($V176),"",OFFSET('Smelter Look-up'!$C$4,$V176-4,0)&amp;"")</f>
        <v>Tongling Nonferrous Metals Group Co., Ltd.</v>
      </c>
      <c r="S176" s="181" t="str">
        <f t="shared" ca="1" si="24"/>
        <v>CN</v>
      </c>
      <c r="T176" s="181" t="str">
        <f ca="1">IF(B176="","",IF(ISERROR(MATCH($J176,SorP!$B$1:$B$6279,0)),"",INDIRECT("'SorP'!$A$"&amp;MATCH($S176&amp;$J176,SorP!C:C,0))))</f>
        <v>CN-AH</v>
      </c>
      <c r="U176" s="201"/>
      <c r="V176" s="226">
        <f>IF(C176="",NA(),IF(OR(C176="Smelter not listed",C176="Smelter not yet identified"),MATCH($B176&amp;$D176,'Smelter Look-up'!$J:$J,0),MATCH($B176&amp;$C176,'Smelter Look-up'!$J:$J,0)))</f>
        <v>284</v>
      </c>
      <c r="X176" s="227">
        <f t="shared" si="25"/>
        <v>0</v>
      </c>
      <c r="AB176" s="228" t="str">
        <f t="shared" si="26"/>
        <v>GoldTongling Nonferrous Metals Group Co., Ltd.</v>
      </c>
    </row>
    <row r="177" spans="1:28" s="227" customFormat="1" ht="25.5">
      <c r="A177" s="181" t="s">
        <v>735</v>
      </c>
      <c r="B177" s="182" t="s">
        <v>1125</v>
      </c>
      <c r="C177" s="186" t="s">
        <v>610</v>
      </c>
      <c r="D177" s="230"/>
      <c r="E177" s="182" t="s">
        <v>1107</v>
      </c>
      <c r="F177" s="182" t="s">
        <v>735</v>
      </c>
      <c r="G177" s="182" t="s">
        <v>13240</v>
      </c>
      <c r="H177" s="183">
        <v>0</v>
      </c>
      <c r="I177" s="184" t="s">
        <v>1673</v>
      </c>
      <c r="J177" s="184" t="s">
        <v>12869</v>
      </c>
      <c r="K177" s="224"/>
      <c r="L177" s="224"/>
      <c r="M177" s="224"/>
      <c r="N177" s="224"/>
      <c r="O177" s="224"/>
      <c r="P177" s="185"/>
      <c r="Q177" s="225" t="s">
        <v>15815</v>
      </c>
      <c r="R177" s="182" t="str">
        <f ca="1">IF(ISERROR($V177),"",OFFSET('Smelter Look-up'!$C$4,$V177-4,0)&amp;"")</f>
        <v>Torecom</v>
      </c>
      <c r="S177" s="181" t="str">
        <f t="shared" ca="1" si="24"/>
        <v>KR</v>
      </c>
      <c r="T177" s="181" t="str">
        <f ca="1">IF(B177="","",IF(ISERROR(MATCH($J177,SorP!$B$1:$B$6279,0)),"",INDIRECT("'SorP'!$A$"&amp;MATCH($S177&amp;$J177,SorP!C:C,0))))</f>
        <v>KR-44</v>
      </c>
      <c r="U177" s="201"/>
      <c r="V177" s="226">
        <f>IF(C177="",NA(),IF(OR(C177="Smelter not listed",C177="Smelter not yet identified"),MATCH($B177&amp;$D177,'Smelter Look-up'!$J:$J,0),MATCH($B177&amp;$C177,'Smelter Look-up'!$J:$J,0)))</f>
        <v>288</v>
      </c>
      <c r="X177" s="227">
        <f t="shared" si="25"/>
        <v>0</v>
      </c>
      <c r="AB177" s="228" t="str">
        <f t="shared" si="26"/>
        <v>GoldTorecom</v>
      </c>
    </row>
    <row r="178" spans="1:28" s="227" customFormat="1" ht="76.5">
      <c r="A178" s="181" t="s">
        <v>762</v>
      </c>
      <c r="B178" s="182" t="s">
        <v>1127</v>
      </c>
      <c r="C178" s="186" t="s">
        <v>1738</v>
      </c>
      <c r="D178" s="230"/>
      <c r="E178" s="182" t="s">
        <v>1105</v>
      </c>
      <c r="F178" s="182" t="s">
        <v>762</v>
      </c>
      <c r="G178" s="182" t="s">
        <v>13240</v>
      </c>
      <c r="H178" s="183">
        <v>0</v>
      </c>
      <c r="I178" s="184" t="s">
        <v>1606</v>
      </c>
      <c r="J178" s="184" t="s">
        <v>7058</v>
      </c>
      <c r="K178" s="224"/>
      <c r="L178" s="224"/>
      <c r="M178" s="224"/>
      <c r="N178" s="224"/>
      <c r="O178" s="224"/>
      <c r="P178" s="185"/>
      <c r="Q178" s="225" t="s">
        <v>15815</v>
      </c>
      <c r="R178" s="182" t="str">
        <f ca="1">IF(ISERROR($V178),"",OFFSET('Smelter Look-up'!$C$4,$V178-4,0)&amp;"")</f>
        <v>Ulba Metallurgical Plant JSC</v>
      </c>
      <c r="S178" s="181" t="str">
        <f t="shared" ca="1" si="24"/>
        <v>KZ</v>
      </c>
      <c r="T178" s="181" t="str">
        <f ca="1">IF(B178="","",IF(ISERROR(MATCH($J178,SorP!$B$1:$B$6279,0)),"",INDIRECT("'SorP'!$A$"&amp;MATCH($S178&amp;$J178,SorP!C:C,0))))</f>
        <v>KZ-KAR</v>
      </c>
      <c r="U178" s="201"/>
      <c r="V178" s="226">
        <f>IF(C178="",NA(),IF(OR(C178="Smelter not listed",C178="Smelter not yet identified"),MATCH($B178&amp;$D178,'Smelter Look-up'!$J:$J,0),MATCH($B178&amp;$C178,'Smelter Look-up'!$J:$J,0)))</f>
        <v>379</v>
      </c>
      <c r="X178" s="227">
        <f t="shared" si="25"/>
        <v>0</v>
      </c>
      <c r="AB178" s="228" t="str">
        <f t="shared" si="26"/>
        <v>TantalumUlba Metallurgical Plant JSC</v>
      </c>
    </row>
    <row r="179" spans="1:28" s="227" customFormat="1" ht="51">
      <c r="A179" s="181" t="s">
        <v>15821</v>
      </c>
      <c r="B179" s="182" t="s">
        <v>1125</v>
      </c>
      <c r="C179" s="186" t="s">
        <v>15822</v>
      </c>
      <c r="D179" s="230"/>
      <c r="E179" s="182" t="s">
        <v>1092</v>
      </c>
      <c r="F179" s="182" t="s">
        <v>15821</v>
      </c>
      <c r="G179" s="182" t="s">
        <v>13240</v>
      </c>
      <c r="H179" s="183">
        <v>0</v>
      </c>
      <c r="I179" s="184" t="s">
        <v>15823</v>
      </c>
      <c r="J179" s="184" t="s">
        <v>1674</v>
      </c>
      <c r="K179" s="224"/>
      <c r="L179" s="224"/>
      <c r="M179" s="224"/>
      <c r="N179" s="224"/>
      <c r="O179" s="224"/>
      <c r="P179" s="185"/>
      <c r="Q179" s="225" t="s">
        <v>15815</v>
      </c>
      <c r="R179" s="182" t="str">
        <f ca="1">IF(ISERROR($V179),"",OFFSET('Smelter Look-up'!$C$4,$V179-4,0)&amp;"")</f>
        <v/>
      </c>
      <c r="S179" s="181" t="str">
        <f t="shared" ca="1" si="24"/>
        <v>BR</v>
      </c>
      <c r="T179" s="181" t="str">
        <f ca="1">IF(B179="","",IF(ISERROR(MATCH($J179,SorP!$B$1:$B$6279,0)),"",INDIRECT("'SorP'!$A$"&amp;MATCH($S179&amp;$J179,SorP!C:C,0))))</f>
        <v>BR-SP</v>
      </c>
      <c r="U179" s="201"/>
      <c r="V179" s="226" t="e">
        <f>IF(C179="",NA(),IF(OR(C179="Smelter not listed",C179="Smelter not yet identified"),MATCH($B179&amp;$D179,'Smelter Look-up'!$J:$J,0),MATCH($B179&amp;$C179,'Smelter Look-up'!$J:$J,0)))</f>
        <v>#N/A</v>
      </c>
      <c r="X179" s="227">
        <f t="shared" si="25"/>
        <v>0</v>
      </c>
      <c r="AB179" s="228" t="str">
        <f t="shared" si="26"/>
        <v>GoldUmicore Brasil Ltda.</v>
      </c>
    </row>
    <row r="180" spans="1:28" s="227" customFormat="1" ht="102">
      <c r="A180" s="181" t="s">
        <v>736</v>
      </c>
      <c r="B180" s="182" t="s">
        <v>1125</v>
      </c>
      <c r="C180" s="186" t="s">
        <v>2331</v>
      </c>
      <c r="D180" s="230"/>
      <c r="E180" s="182" t="s">
        <v>1091</v>
      </c>
      <c r="F180" s="182" t="s">
        <v>736</v>
      </c>
      <c r="G180" s="182" t="s">
        <v>13240</v>
      </c>
      <c r="H180" s="183">
        <v>0</v>
      </c>
      <c r="I180" s="184" t="s">
        <v>1675</v>
      </c>
      <c r="J180" s="184" t="s">
        <v>3153</v>
      </c>
      <c r="K180" s="224"/>
      <c r="L180" s="224"/>
      <c r="M180" s="224"/>
      <c r="N180" s="224"/>
      <c r="O180" s="224"/>
      <c r="P180" s="185"/>
      <c r="Q180" s="225" t="s">
        <v>15815</v>
      </c>
      <c r="R180" s="182" t="str">
        <f ca="1">IF(ISERROR($V180),"",OFFSET('Smelter Look-up'!$C$4,$V180-4,0)&amp;"")</f>
        <v>Umicore S.A. Business Unit Precious Metals Refining</v>
      </c>
      <c r="S180" s="181" t="str">
        <f t="shared" ca="1" si="24"/>
        <v>BE</v>
      </c>
      <c r="T180" s="181" t="str">
        <f ca="1">IF(B180="","",IF(ISERROR(MATCH($J180,SorP!$B$1:$B$6279,0)),"",INDIRECT("'SorP'!$A$"&amp;MATCH($S180&amp;$J180,SorP!C:C,0))))</f>
        <v>BE-VAN</v>
      </c>
      <c r="U180" s="201"/>
      <c r="V180" s="226">
        <f>IF(C180="",NA(),IF(OR(C180="Smelter not listed",C180="Smelter not yet identified"),MATCH($B180&amp;$D180,'Smelter Look-up'!$J:$J,0),MATCH($B180&amp;$C180,'Smelter Look-up'!$J:$J,0)))</f>
        <v>293</v>
      </c>
      <c r="X180" s="227">
        <f t="shared" si="25"/>
        <v>0</v>
      </c>
      <c r="AB180" s="228" t="str">
        <f t="shared" si="26"/>
        <v>GoldUmicore S.A. Business Unit Precious Metals Refining</v>
      </c>
    </row>
    <row r="181" spans="1:28" s="227" customFormat="1" ht="76.5">
      <c r="A181" s="181" t="s">
        <v>737</v>
      </c>
      <c r="B181" s="182" t="s">
        <v>1125</v>
      </c>
      <c r="C181" s="186" t="s">
        <v>816</v>
      </c>
      <c r="D181" s="230"/>
      <c r="E181" s="182" t="s">
        <v>2432</v>
      </c>
      <c r="F181" s="182" t="s">
        <v>737</v>
      </c>
      <c r="G181" s="182" t="s">
        <v>13240</v>
      </c>
      <c r="H181" s="183">
        <v>0</v>
      </c>
      <c r="I181" s="184" t="s">
        <v>1677</v>
      </c>
      <c r="J181" s="184" t="s">
        <v>1617</v>
      </c>
      <c r="K181" s="224"/>
      <c r="L181" s="224"/>
      <c r="M181" s="224"/>
      <c r="N181" s="224" t="s">
        <v>15897</v>
      </c>
      <c r="O181" s="224" t="s">
        <v>15898</v>
      </c>
      <c r="P181" s="185" t="s">
        <v>489</v>
      </c>
      <c r="Q181" s="225" t="s">
        <v>15899</v>
      </c>
      <c r="R181" s="182" t="str">
        <f ca="1">IF(ISERROR($V181),"",OFFSET('Smelter Look-up'!$C$4,$V181-4,0)&amp;"")</f>
        <v>United Precious Metal Refining, Inc.</v>
      </c>
      <c r="S181" s="181" t="str">
        <f t="shared" ca="1" si="24"/>
        <v>US</v>
      </c>
      <c r="T181" s="181" t="str">
        <f ca="1">IF(B181="","",IF(ISERROR(MATCH($J181,SorP!$B$1:$B$6279,0)),"",INDIRECT("'SorP'!$A$"&amp;MATCH($S181&amp;$J181,SorP!C:C,0))))</f>
        <v>US-NY</v>
      </c>
      <c r="U181" s="201"/>
      <c r="V181" s="226">
        <f>IF(C181="",NA(),IF(OR(C181="Smelter not listed",C181="Smelter not yet identified"),MATCH($B181&amp;$D181,'Smelter Look-up'!$J:$J,0),MATCH($B181&amp;$C181,'Smelter Look-up'!$J:$J,0)))</f>
        <v>294</v>
      </c>
      <c r="X181" s="227">
        <f t="shared" si="25"/>
        <v>0</v>
      </c>
      <c r="AB181" s="228" t="str">
        <f t="shared" si="26"/>
        <v>GoldUnited Precious Metal Refining, Inc.</v>
      </c>
    </row>
    <row r="182" spans="1:28" s="227" customFormat="1" ht="38.25">
      <c r="A182" s="181" t="s">
        <v>738</v>
      </c>
      <c r="B182" s="182" t="s">
        <v>1125</v>
      </c>
      <c r="C182" s="186" t="s">
        <v>2333</v>
      </c>
      <c r="D182" s="230"/>
      <c r="E182" s="182" t="s">
        <v>1094</v>
      </c>
      <c r="F182" s="182" t="s">
        <v>738</v>
      </c>
      <c r="G182" s="182" t="s">
        <v>13240</v>
      </c>
      <c r="H182" s="183">
        <v>0</v>
      </c>
      <c r="I182" s="184" t="s">
        <v>1678</v>
      </c>
      <c r="J182" s="184" t="s">
        <v>1549</v>
      </c>
      <c r="K182" s="224"/>
      <c r="L182" s="224"/>
      <c r="M182" s="224"/>
      <c r="N182" s="224"/>
      <c r="O182" s="224"/>
      <c r="P182" s="185"/>
      <c r="Q182" s="225" t="s">
        <v>15815</v>
      </c>
      <c r="R182" s="182" t="str">
        <f ca="1">IF(ISERROR($V182),"",OFFSET('Smelter Look-up'!$C$4,$V182-4,0)&amp;"")</f>
        <v>Valcambi S.A.</v>
      </c>
      <c r="S182" s="181" t="str">
        <f t="shared" ca="1" si="24"/>
        <v>CH</v>
      </c>
      <c r="T182" s="181" t="str">
        <f ca="1">IF(B182="","",IF(ISERROR(MATCH($J182,SorP!$B$1:$B$6279,0)),"",INDIRECT("'SorP'!$A$"&amp;MATCH($S182&amp;$J182,SorP!C:C,0))))</f>
        <v>CH-TI</v>
      </c>
      <c r="U182" s="201"/>
      <c r="V182" s="226">
        <f>IF(C182="",NA(),IF(OR(C182="Smelter not listed",C182="Smelter not yet identified"),MATCH($B182&amp;$D182,'Smelter Look-up'!$J:$J,0),MATCH($B182&amp;$C182,'Smelter Look-up'!$J:$J,0)))</f>
        <v>295</v>
      </c>
      <c r="X182" s="227">
        <f t="shared" si="25"/>
        <v>0</v>
      </c>
      <c r="AB182" s="228" t="str">
        <f t="shared" si="26"/>
        <v>GoldValcambi S.A.</v>
      </c>
    </row>
    <row r="183" spans="1:28" s="227" customFormat="1" ht="127.5">
      <c r="A183" s="181" t="s">
        <v>15970</v>
      </c>
      <c r="B183" s="182" t="s">
        <v>1128</v>
      </c>
      <c r="C183" s="186" t="s">
        <v>15971</v>
      </c>
      <c r="D183" s="230"/>
      <c r="E183" s="182" t="s">
        <v>888</v>
      </c>
      <c r="F183" s="182" t="s">
        <v>15970</v>
      </c>
      <c r="G183" s="182" t="s">
        <v>15883</v>
      </c>
      <c r="H183" s="183">
        <v>0</v>
      </c>
      <c r="I183" s="184" t="s">
        <v>15866</v>
      </c>
      <c r="J183" s="184" t="s">
        <v>12102</v>
      </c>
      <c r="K183" s="224"/>
      <c r="L183" s="224"/>
      <c r="M183" s="224" t="s">
        <v>15931</v>
      </c>
      <c r="N183" s="224"/>
      <c r="O183" s="224" t="s">
        <v>15972</v>
      </c>
      <c r="P183" s="185" t="s">
        <v>489</v>
      </c>
      <c r="Q183" s="225" t="s">
        <v>15933</v>
      </c>
      <c r="R183" s="182" t="str">
        <f ca="1">IF(ISERROR($V183),"",OFFSET('Smelter Look-up'!$C$4,$V183-4,0)&amp;"")</f>
        <v/>
      </c>
      <c r="S183" s="181" t="str">
        <f t="shared" ca="1" si="24"/>
        <v>VN</v>
      </c>
      <c r="T183" s="181" t="str">
        <f ca="1">IF(B183="","",IF(ISERROR(MATCH($J183,SorP!$B$1:$B$6279,0)),"",INDIRECT("'SorP'!$A$"&amp;MATCH($S183&amp;$J183,SorP!C:C,0))))</f>
        <v>VN-13</v>
      </c>
      <c r="U183" s="201"/>
      <c r="V183" s="226" t="e">
        <f>IF(C183="",NA(),IF(OR(C183="Smelter not listed",C183="Smelter not yet identified"),MATCH($B183&amp;$D183,'Smelter Look-up'!$J:$J,0),MATCH($B183&amp;$C183,'Smelter Look-up'!$J:$J,0)))</f>
        <v>#N/A</v>
      </c>
      <c r="X183" s="227">
        <f t="shared" si="25"/>
        <v>0</v>
      </c>
      <c r="AB183" s="228" t="str">
        <f t="shared" si="26"/>
        <v>TungstenVietnam Youngsun Tungsten Industry Co., Ltd.</v>
      </c>
    </row>
    <row r="184" spans="1:28" s="227" customFormat="1" ht="76.5">
      <c r="A184" s="181" t="s">
        <v>15104</v>
      </c>
      <c r="B184" s="182" t="s">
        <v>1126</v>
      </c>
      <c r="C184" s="186" t="s">
        <v>15103</v>
      </c>
      <c r="D184" s="230"/>
      <c r="E184" s="182" t="s">
        <v>888</v>
      </c>
      <c r="F184" s="182" t="s">
        <v>15104</v>
      </c>
      <c r="G184" s="182" t="s">
        <v>13240</v>
      </c>
      <c r="H184" s="183">
        <v>0</v>
      </c>
      <c r="I184" s="184" t="s">
        <v>15145</v>
      </c>
      <c r="J184" s="184" t="s">
        <v>12172</v>
      </c>
      <c r="K184" s="224"/>
      <c r="L184" s="224"/>
      <c r="M184" s="224"/>
      <c r="N184" s="224"/>
      <c r="O184" s="224"/>
      <c r="P184" s="185"/>
      <c r="Q184" s="225"/>
      <c r="R184" s="182" t="str">
        <f ca="1">IF(ISERROR($V184),"",OFFSET('Smelter Look-up'!$C$4,$V184-4,0)&amp;"")</f>
        <v>VQB Mineral and Trading Group JSC</v>
      </c>
      <c r="S184" s="181" t="str">
        <f t="shared" ca="1" si="24"/>
        <v>VN</v>
      </c>
      <c r="T184" s="181" t="str">
        <f ca="1">IF(B184="","",IF(ISERROR(MATCH($J184,SorP!$B$1:$B$6279,0)),"",INDIRECT("'SorP'!$A$"&amp;MATCH($S184&amp;$J184,SorP!C:C,0))))</f>
        <v>VN-HN</v>
      </c>
      <c r="U184" s="201"/>
      <c r="V184" s="226">
        <f>IF(C184="",NA(),IF(OR(C184="Smelter not listed",C184="Smelter not yet identified"),MATCH($B184&amp;$D184,'Smelter Look-up'!$J:$J,0),MATCH($B184&amp;$C184,'Smelter Look-up'!$J:$J,0)))</f>
        <v>534</v>
      </c>
      <c r="X184" s="227">
        <f t="shared" si="25"/>
        <v>0</v>
      </c>
      <c r="AB184" s="228" t="str">
        <f t="shared" si="26"/>
        <v>TinVQB Mineral and Trading Group JSC</v>
      </c>
    </row>
    <row r="185" spans="1:28" s="227" customFormat="1" ht="102">
      <c r="A185" s="181" t="s">
        <v>739</v>
      </c>
      <c r="B185" s="182" t="s">
        <v>1125</v>
      </c>
      <c r="C185" s="186" t="s">
        <v>2488</v>
      </c>
      <c r="D185" s="230"/>
      <c r="E185" s="182" t="s">
        <v>1089</v>
      </c>
      <c r="F185" s="182" t="s">
        <v>739</v>
      </c>
      <c r="G185" s="182" t="s">
        <v>13240</v>
      </c>
      <c r="H185" s="183">
        <v>0</v>
      </c>
      <c r="I185" s="184" t="s">
        <v>1679</v>
      </c>
      <c r="J185" s="184" t="s">
        <v>1680</v>
      </c>
      <c r="K185" s="224"/>
      <c r="L185" s="224"/>
      <c r="M185" s="224"/>
      <c r="N185" s="224" t="s">
        <v>15897</v>
      </c>
      <c r="O185" s="224" t="s">
        <v>15898</v>
      </c>
      <c r="P185" s="185" t="s">
        <v>489</v>
      </c>
      <c r="Q185" s="225" t="s">
        <v>15899</v>
      </c>
      <c r="R185" s="182" t="str">
        <f ca="1">IF(ISERROR($V185),"",OFFSET('Smelter Look-up'!$C$4,$V185-4,0)&amp;"")</f>
        <v>Western Australian Mint (T/a The Perth Mint)</v>
      </c>
      <c r="S185" s="181" t="str">
        <f t="shared" ca="1" si="24"/>
        <v>AU</v>
      </c>
      <c r="T185" s="181" t="str">
        <f ca="1">IF(B185="","",IF(ISERROR(MATCH($J185,SorP!$B$1:$B$6279,0)),"",INDIRECT("'SorP'!$A$"&amp;MATCH($S185&amp;$J185,SorP!C:C,0))))</f>
        <v>AU-WA</v>
      </c>
      <c r="U185" s="201"/>
      <c r="V185" s="226">
        <f>IF(C185="",NA(),IF(OR(C185="Smelter not listed",C185="Smelter not yet identified"),MATCH($B185&amp;$D185,'Smelter Look-up'!$J:$J,0),MATCH($B185&amp;$C185,'Smelter Look-up'!$J:$J,0)))</f>
        <v>297</v>
      </c>
      <c r="X185" s="227">
        <f t="shared" si="25"/>
        <v>0</v>
      </c>
      <c r="AB185" s="228" t="str">
        <f t="shared" si="26"/>
        <v>GoldWestern Australian Mint (T/a The Perth Mint)</v>
      </c>
    </row>
    <row r="186" spans="1:28" s="227" customFormat="1" ht="76.5">
      <c r="A186" s="181" t="s">
        <v>785</v>
      </c>
      <c r="B186" s="182" t="s">
        <v>1126</v>
      </c>
      <c r="C186" s="186" t="s">
        <v>2532</v>
      </c>
      <c r="D186" s="230"/>
      <c r="E186" s="182" t="s">
        <v>1092</v>
      </c>
      <c r="F186" s="182" t="s">
        <v>785</v>
      </c>
      <c r="G186" s="182" t="s">
        <v>13240</v>
      </c>
      <c r="H186" s="183">
        <v>0</v>
      </c>
      <c r="I186" s="184" t="s">
        <v>1766</v>
      </c>
      <c r="J186" s="184" t="s">
        <v>1770</v>
      </c>
      <c r="K186" s="224"/>
      <c r="L186" s="224"/>
      <c r="M186" s="224"/>
      <c r="N186" s="224"/>
      <c r="O186" s="224"/>
      <c r="P186" s="185"/>
      <c r="Q186" s="225" t="s">
        <v>15815</v>
      </c>
      <c r="R186" s="182" t="str">
        <f ca="1">IF(ISERROR($V186),"",OFFSET('Smelter Look-up'!$C$4,$V186-4,0)&amp;"")</f>
        <v>White Solder Metalurgia e Mineracao Ltda.</v>
      </c>
      <c r="S186" s="181" t="str">
        <f t="shared" ca="1" si="24"/>
        <v>BR</v>
      </c>
      <c r="T186" s="181" t="str">
        <f ca="1">IF(B186="","",IF(ISERROR(MATCH($J186,SorP!$B$1:$B$6279,0)),"",INDIRECT("'SorP'!$A$"&amp;MATCH($S186&amp;$J186,SorP!C:C,0))))</f>
        <v>BR-RO</v>
      </c>
      <c r="U186" s="201"/>
      <c r="V186" s="226">
        <f>IF(C186="",NA(),IF(OR(C186="Smelter not listed",C186="Smelter not yet identified"),MATCH($B186&amp;$D186,'Smelter Look-up'!$J:$J,0),MATCH($B186&amp;$C186,'Smelter Look-up'!$J:$J,0)))</f>
        <v>535</v>
      </c>
      <c r="X186" s="227">
        <f t="shared" si="25"/>
        <v>0</v>
      </c>
      <c r="AB186" s="228" t="str">
        <f t="shared" si="26"/>
        <v>TinWhite Solder Metalurgia e Mineracao Ltda.</v>
      </c>
    </row>
    <row r="187" spans="1:28" s="227" customFormat="1" ht="89.25">
      <c r="A187" s="181" t="s">
        <v>798</v>
      </c>
      <c r="B187" s="182" t="s">
        <v>1128</v>
      </c>
      <c r="C187" s="186" t="s">
        <v>2539</v>
      </c>
      <c r="D187" s="230"/>
      <c r="E187" s="182" t="s">
        <v>1090</v>
      </c>
      <c r="F187" s="182" t="s">
        <v>798</v>
      </c>
      <c r="G187" s="182" t="s">
        <v>13240</v>
      </c>
      <c r="H187" s="183">
        <v>0</v>
      </c>
      <c r="I187" s="184" t="s">
        <v>1829</v>
      </c>
      <c r="J187" s="184" t="s">
        <v>2810</v>
      </c>
      <c r="K187" s="224"/>
      <c r="L187" s="224"/>
      <c r="M187" s="224"/>
      <c r="N187" s="224"/>
      <c r="O187" s="224"/>
      <c r="P187" s="185"/>
      <c r="Q187" s="225" t="s">
        <v>15815</v>
      </c>
      <c r="R187" s="182" t="str">
        <f ca="1">IF(ISERROR($V187),"",OFFSET('Smelter Look-up'!$C$4,$V187-4,0)&amp;"")</f>
        <v>Wolfram Bergbau und Hutten AG</v>
      </c>
      <c r="S187" s="181" t="str">
        <f t="shared" ca="1" si="24"/>
        <v>AT</v>
      </c>
      <c r="T187" s="181" t="str">
        <f ca="1">IF(B187="","",IF(ISERROR(MATCH($J187,SorP!$B$1:$B$6279,0)),"",INDIRECT("'SorP'!$A$"&amp;MATCH($S187&amp;$J187,SorP!C:C,0))))</f>
        <v>AT-6</v>
      </c>
      <c r="U187" s="201"/>
      <c r="V187" s="226">
        <f>IF(C187="",NA(),IF(OR(C187="Smelter not listed",C187="Smelter not yet identified"),MATCH($B187&amp;$D187,'Smelter Look-up'!$J:$J,0),MATCH($B187&amp;$C187,'Smelter Look-up'!$J:$J,0)))</f>
        <v>632</v>
      </c>
      <c r="X187" s="227">
        <f t="shared" si="25"/>
        <v>0</v>
      </c>
      <c r="AB187" s="228" t="str">
        <f t="shared" si="26"/>
        <v>TungstenWolfram Bergbau und Hutten AG</v>
      </c>
    </row>
    <row r="188" spans="1:28" s="227" customFormat="1" ht="63.75">
      <c r="A188" s="181" t="s">
        <v>799</v>
      </c>
      <c r="B188" s="182" t="s">
        <v>1128</v>
      </c>
      <c r="C188" s="186" t="s">
        <v>1378</v>
      </c>
      <c r="D188" s="230"/>
      <c r="E188" s="182" t="s">
        <v>1096</v>
      </c>
      <c r="F188" s="182" t="s">
        <v>799</v>
      </c>
      <c r="G188" s="182" t="s">
        <v>13240</v>
      </c>
      <c r="H188" s="183">
        <v>0</v>
      </c>
      <c r="I188" s="184" t="s">
        <v>1832</v>
      </c>
      <c r="J188" s="184" t="s">
        <v>13618</v>
      </c>
      <c r="K188" s="224"/>
      <c r="L188" s="224"/>
      <c r="M188" s="224"/>
      <c r="N188" s="224"/>
      <c r="O188" s="224" t="s">
        <v>15973</v>
      </c>
      <c r="P188" s="185" t="s">
        <v>489</v>
      </c>
      <c r="Q188" s="225" t="s">
        <v>15901</v>
      </c>
      <c r="R188" s="182" t="str">
        <f ca="1">IF(ISERROR($V188),"",OFFSET('Smelter Look-up'!$C$4,$V188-4,0)&amp;"")</f>
        <v>Xiamen Tungsten Co., Ltd.</v>
      </c>
      <c r="S188" s="181" t="str">
        <f t="shared" ca="1" si="24"/>
        <v>CN</v>
      </c>
      <c r="T188" s="181" t="str">
        <f ca="1">IF(B188="","",IF(ISERROR(MATCH($J188,SorP!$B$1:$B$6279,0)),"",INDIRECT("'SorP'!$A$"&amp;MATCH($S188&amp;$J188,SorP!C:C,0))))</f>
        <v>CN-FJ</v>
      </c>
      <c r="U188" s="201"/>
      <c r="V188" s="226">
        <f>IF(C188="",NA(),IF(OR(C188="Smelter not listed",C188="Smelter not yet identified"),MATCH($B188&amp;$D188,'Smelter Look-up'!$J:$J,0),MATCH($B188&amp;$C188,'Smelter Look-up'!$J:$J,0)))</f>
        <v>636</v>
      </c>
      <c r="X188" s="227">
        <f t="shared" si="25"/>
        <v>0</v>
      </c>
      <c r="AB188" s="228" t="str">
        <f t="shared" si="26"/>
        <v>TungstenXiamen Tungsten Co., Ltd.</v>
      </c>
    </row>
    <row r="189" spans="1:28" s="227" customFormat="1" ht="102">
      <c r="A189" s="181" t="s">
        <v>15867</v>
      </c>
      <c r="B189" s="182" t="s">
        <v>1128</v>
      </c>
      <c r="C189" s="186" t="s">
        <v>15868</v>
      </c>
      <c r="D189" s="230"/>
      <c r="E189" s="182" t="s">
        <v>1096</v>
      </c>
      <c r="F189" s="182" t="s">
        <v>15867</v>
      </c>
      <c r="G189" s="182" t="s">
        <v>13240</v>
      </c>
      <c r="H189" s="183">
        <v>0</v>
      </c>
      <c r="I189" s="184" t="s">
        <v>15869</v>
      </c>
      <c r="J189" s="184" t="s">
        <v>13624</v>
      </c>
      <c r="K189" s="224"/>
      <c r="L189" s="224"/>
      <c r="M189" s="224"/>
      <c r="N189" s="224"/>
      <c r="O189" s="224"/>
      <c r="P189" s="185"/>
      <c r="Q189" s="225" t="s">
        <v>15815</v>
      </c>
      <c r="R189" s="182" t="str">
        <f ca="1">IF(ISERROR($V189),"",OFFSET('Smelter Look-up'!$C$4,$V189-4,0)&amp;"")</f>
        <v/>
      </c>
      <c r="S189" s="181" t="str">
        <f t="shared" ca="1" si="24"/>
        <v>CN</v>
      </c>
      <c r="T189" s="181" t="str">
        <f ca="1">IF(B189="","",IF(ISERROR(MATCH($J189,SorP!$B$1:$B$6279,0)),"",INDIRECT("'SorP'!$A$"&amp;MATCH($S189&amp;$J189,SorP!C:C,0))))</f>
        <v>CN-GD</v>
      </c>
      <c r="U189" s="201"/>
      <c r="V189" s="226" t="e">
        <f>IF(C189="",NA(),IF(OR(C189="Smelter not listed",C189="Smelter not yet identified"),MATCH($B189&amp;$D189,'Smelter Look-up'!$J:$J,0),MATCH($B189&amp;$C189,'Smelter Look-up'!$J:$J,0)))</f>
        <v>#N/A</v>
      </c>
      <c r="X189" s="227">
        <f t="shared" si="25"/>
        <v>0</v>
      </c>
      <c r="AB189" s="228" t="str">
        <f t="shared" si="26"/>
        <v>TungstenXinhai Rendan Shaoguan Tungsten Co., Ltd.</v>
      </c>
    </row>
    <row r="190" spans="1:28" s="227" customFormat="1" ht="51">
      <c r="A190" s="181" t="s">
        <v>740</v>
      </c>
      <c r="B190" s="182" t="s">
        <v>1125</v>
      </c>
      <c r="C190" s="186" t="s">
        <v>12926</v>
      </c>
      <c r="D190" s="230"/>
      <c r="E190" s="182" t="s">
        <v>1104</v>
      </c>
      <c r="F190" s="182" t="s">
        <v>740</v>
      </c>
      <c r="G190" s="182" t="s">
        <v>13240</v>
      </c>
      <c r="H190" s="183">
        <v>0</v>
      </c>
      <c r="I190" s="184" t="s">
        <v>12941</v>
      </c>
      <c r="J190" s="184" t="s">
        <v>6627</v>
      </c>
      <c r="K190" s="224"/>
      <c r="L190" s="224"/>
      <c r="M190" s="224"/>
      <c r="N190" s="224"/>
      <c r="O190" s="224"/>
      <c r="P190" s="185"/>
      <c r="Q190" s="225" t="s">
        <v>15815</v>
      </c>
      <c r="R190" s="182" t="str">
        <f ca="1">IF(ISERROR($V190),"",OFFSET('Smelter Look-up'!$C$4,$V190-4,0)&amp;"")</f>
        <v>Yamakin Co., Ltd.</v>
      </c>
      <c r="S190" s="181" t="str">
        <f t="shared" ca="1" si="24"/>
        <v>JP</v>
      </c>
      <c r="T190" s="181" t="str">
        <f ca="1">IF(B190="","",IF(ISERROR(MATCH($J190,SorP!$B$1:$B$6279,0)),"",INDIRECT("'SorP'!$A$"&amp;MATCH($S190&amp;$J190,SorP!C:C,0))))</f>
        <v>JP-39</v>
      </c>
      <c r="U190" s="201"/>
      <c r="V190" s="226">
        <f>IF(C190="",NA(),IF(OR(C190="Smelter not listed",C190="Smelter not yet identified"),MATCH($B190&amp;$D190,'Smelter Look-up'!$J:$J,0),MATCH($B190&amp;$C190,'Smelter Look-up'!$J:$J,0)))</f>
        <v>301</v>
      </c>
      <c r="X190" s="227">
        <f t="shared" si="25"/>
        <v>0</v>
      </c>
      <c r="AB190" s="228" t="str">
        <f t="shared" si="26"/>
        <v>GoldYamakin Co., Ltd.</v>
      </c>
    </row>
    <row r="191" spans="1:28" s="227" customFormat="1" ht="63.75">
      <c r="A191" s="181" t="s">
        <v>741</v>
      </c>
      <c r="B191" s="182" t="s">
        <v>1125</v>
      </c>
      <c r="C191" s="186" t="s">
        <v>2165</v>
      </c>
      <c r="D191" s="230"/>
      <c r="E191" s="182" t="s">
        <v>1104</v>
      </c>
      <c r="F191" s="182" t="s">
        <v>741</v>
      </c>
      <c r="G191" s="182" t="s">
        <v>13240</v>
      </c>
      <c r="H191" s="183">
        <v>0</v>
      </c>
      <c r="I191" s="184" t="s">
        <v>1685</v>
      </c>
      <c r="J191" s="184" t="s">
        <v>1664</v>
      </c>
      <c r="K191" s="224"/>
      <c r="L191" s="224"/>
      <c r="M191" s="224"/>
      <c r="N191" s="224"/>
      <c r="O191" s="224"/>
      <c r="P191" s="185"/>
      <c r="Q191" s="225" t="s">
        <v>15815</v>
      </c>
      <c r="R191" s="182" t="str">
        <f ca="1">IF(ISERROR($V191),"",OFFSET('Smelter Look-up'!$C$4,$V191-4,0)&amp;"")</f>
        <v>Yokohama Metal Co., Ltd.</v>
      </c>
      <c r="S191" s="181" t="str">
        <f t="shared" ca="1" si="24"/>
        <v>JP</v>
      </c>
      <c r="T191" s="181" t="str">
        <f ca="1">IF(B191="","",IF(ISERROR(MATCH($J191,SorP!$B$1:$B$6279,0)),"",INDIRECT("'SorP'!$A$"&amp;MATCH($S191&amp;$J191,SorP!C:C,0))))</f>
        <v>JP-14</v>
      </c>
      <c r="U191" s="201"/>
      <c r="V191" s="226">
        <f>IF(C191="",NA(),IF(OR(C191="Smelter not listed",C191="Smelter not yet identified"),MATCH($B191&amp;$D191,'Smelter Look-up'!$J:$J,0),MATCH($B191&amp;$C191,'Smelter Look-up'!$J:$J,0)))</f>
        <v>306</v>
      </c>
      <c r="X191" s="227">
        <f t="shared" si="25"/>
        <v>0</v>
      </c>
      <c r="AB191" s="228" t="str">
        <f t="shared" si="26"/>
        <v>GoldYokohama Metal Co., Ltd.</v>
      </c>
    </row>
    <row r="192" spans="1:28" s="227" customFormat="1" ht="102">
      <c r="A192" s="181" t="s">
        <v>786</v>
      </c>
      <c r="B192" s="182" t="s">
        <v>1126</v>
      </c>
      <c r="C192" s="186" t="s">
        <v>2166</v>
      </c>
      <c r="D192" s="230"/>
      <c r="E192" s="182" t="s">
        <v>1096</v>
      </c>
      <c r="F192" s="182" t="s">
        <v>786</v>
      </c>
      <c r="G192" s="182" t="s">
        <v>13240</v>
      </c>
      <c r="H192" s="183">
        <v>0</v>
      </c>
      <c r="I192" s="184" t="s">
        <v>2446</v>
      </c>
      <c r="J192" s="184" t="s">
        <v>13628</v>
      </c>
      <c r="K192" s="224"/>
      <c r="L192" s="224"/>
      <c r="M192" s="224"/>
      <c r="N192" s="224"/>
      <c r="O192" s="224"/>
      <c r="P192" s="185"/>
      <c r="Q192" s="225" t="s">
        <v>15815</v>
      </c>
      <c r="R192" s="182" t="str">
        <f ca="1">IF(ISERROR($V192),"",OFFSET('Smelter Look-up'!$C$4,$V192-4,0)&amp;"")</f>
        <v>Yunnan Chengfeng Non-ferrous Metals Co., Ltd.</v>
      </c>
      <c r="S192" s="181" t="str">
        <f t="shared" ca="1" si="24"/>
        <v>CN</v>
      </c>
      <c r="T192" s="181" t="str">
        <f ca="1">IF(B192="","",IF(ISERROR(MATCH($J192,SorP!$B$1:$B$6279,0)),"",INDIRECT("'SorP'!$A$"&amp;MATCH($S192&amp;$J192,SorP!C:C,0))))</f>
        <v>CN-YN</v>
      </c>
      <c r="U192" s="201"/>
      <c r="V192" s="226">
        <f>IF(C192="",NA(),IF(OR(C192="Smelter not listed",C192="Smelter not yet identified"),MATCH($B192&amp;$D192,'Smelter Look-up'!$J:$J,0),MATCH($B192&amp;$C192,'Smelter Look-up'!$J:$J,0)))</f>
        <v>543</v>
      </c>
      <c r="X192" s="227">
        <f t="shared" si="25"/>
        <v>0</v>
      </c>
      <c r="AB192" s="228" t="str">
        <f t="shared" si="26"/>
        <v>TinYunnan Chengfeng Non-ferrous Metals Co., Ltd.</v>
      </c>
    </row>
    <row r="193" spans="1:28" s="227" customFormat="1" ht="63.75">
      <c r="A193" s="181" t="s">
        <v>787</v>
      </c>
      <c r="B193" s="182" t="s">
        <v>1126</v>
      </c>
      <c r="C193" s="186" t="s">
        <v>2342</v>
      </c>
      <c r="D193" s="230"/>
      <c r="E193" s="182" t="s">
        <v>1096</v>
      </c>
      <c r="F193" s="182" t="s">
        <v>787</v>
      </c>
      <c r="G193" s="182" t="s">
        <v>13240</v>
      </c>
      <c r="H193" s="183">
        <v>0</v>
      </c>
      <c r="I193" s="184" t="s">
        <v>2446</v>
      </c>
      <c r="J193" s="184" t="s">
        <v>13628</v>
      </c>
      <c r="K193" s="224"/>
      <c r="L193" s="224"/>
      <c r="M193" s="224"/>
      <c r="N193" s="224"/>
      <c r="O193" s="224"/>
      <c r="P193" s="185"/>
      <c r="Q193" s="225" t="s">
        <v>15815</v>
      </c>
      <c r="R193" s="182" t="str">
        <f ca="1">IF(ISERROR($V193),"",OFFSET('Smelter Look-up'!$C$4,$V193-4,0)&amp;"")</f>
        <v>Tin Smelting Branch of Yunnan Tin Co., Ltd.</v>
      </c>
      <c r="S193" s="181" t="str">
        <f t="shared" ca="1" si="24"/>
        <v>CN</v>
      </c>
      <c r="T193" s="181" t="str">
        <f ca="1">IF(B193="","",IF(ISERROR(MATCH($J193,SorP!$B$1:$B$6279,0)),"",INDIRECT("'SorP'!$A$"&amp;MATCH($S193&amp;$J193,SorP!C:C,0))))</f>
        <v>CN-YN</v>
      </c>
      <c r="U193" s="201"/>
      <c r="V193" s="226">
        <f>IF(C193="",NA(),IF(OR(C193="Smelter not listed",C193="Smelter not yet identified"),MATCH($B193&amp;$D193,'Smelter Look-up'!$J:$J,0),MATCH($B193&amp;$C193,'Smelter Look-up'!$J:$J,0)))</f>
        <v>547</v>
      </c>
      <c r="X193" s="227">
        <f t="shared" si="25"/>
        <v>0</v>
      </c>
      <c r="AB193" s="228" t="str">
        <f t="shared" si="26"/>
        <v>TinYunnan Tin Company Limited</v>
      </c>
    </row>
    <row r="194" spans="1:28" s="227" customFormat="1" ht="114.75">
      <c r="A194" s="181" t="s">
        <v>743</v>
      </c>
      <c r="B194" s="182" t="s">
        <v>1125</v>
      </c>
      <c r="C194" s="186" t="s">
        <v>1320</v>
      </c>
      <c r="D194" s="230"/>
      <c r="E194" s="182" t="s">
        <v>1096</v>
      </c>
      <c r="F194" s="182" t="s">
        <v>743</v>
      </c>
      <c r="G194" s="182" t="s">
        <v>13240</v>
      </c>
      <c r="H194" s="183">
        <v>0</v>
      </c>
      <c r="I194" s="184" t="s">
        <v>1686</v>
      </c>
      <c r="J194" s="184" t="s">
        <v>13621</v>
      </c>
      <c r="K194" s="224"/>
      <c r="L194" s="224"/>
      <c r="M194" s="224"/>
      <c r="N194" s="224"/>
      <c r="O194" s="224"/>
      <c r="P194" s="185"/>
      <c r="Q194" s="225" t="s">
        <v>15815</v>
      </c>
      <c r="R194" s="182" t="str">
        <f ca="1">IF(ISERROR($V194),"",OFFSET('Smelter Look-up'!$C$4,$V194-4,0)&amp;"")</f>
        <v>Zhongyuan Gold Smelter of Zhongjin Gold Corporation</v>
      </c>
      <c r="S194" s="181" t="str">
        <f t="shared" ca="1" si="24"/>
        <v>CN</v>
      </c>
      <c r="T194" s="181" t="str">
        <f ca="1">IF(B194="","",IF(ISERROR(MATCH($J194,SorP!$B$1:$B$6279,0)),"",INDIRECT("'SorP'!$A$"&amp;MATCH($S194&amp;$J194,SorP!C:C,0))))</f>
        <v>CN-HA</v>
      </c>
      <c r="U194" s="201"/>
      <c r="V194" s="226">
        <f>IF(C194="",NA(),IF(OR(C194="Smelter not listed",C194="Smelter not yet identified"),MATCH($B194&amp;$D194,'Smelter Look-up'!$J:$J,0),MATCH($B194&amp;$C194,'Smelter Look-up'!$J:$J,0)))</f>
        <v>316</v>
      </c>
      <c r="X194" s="227">
        <f t="shared" si="25"/>
        <v>0</v>
      </c>
      <c r="AB194" s="228" t="str">
        <f t="shared" si="26"/>
        <v>GoldZhongyuan Gold Smelter of Zhongjin Gold Corporation</v>
      </c>
    </row>
    <row r="195" spans="1:28" s="227" customFormat="1" ht="114.75">
      <c r="A195" s="181" t="s">
        <v>15974</v>
      </c>
      <c r="B195" s="182" t="s">
        <v>1127</v>
      </c>
      <c r="C195" s="186" t="s">
        <v>15975</v>
      </c>
      <c r="D195" s="230" t="s">
        <v>15975</v>
      </c>
      <c r="E195" s="182" t="s">
        <v>1096</v>
      </c>
      <c r="F195" s="182" t="s">
        <v>15974</v>
      </c>
      <c r="G195" s="182" t="s">
        <v>15883</v>
      </c>
      <c r="H195" s="183">
        <v>0</v>
      </c>
      <c r="I195" s="184" t="s">
        <v>1732</v>
      </c>
      <c r="J195" s="184" t="s">
        <v>15976</v>
      </c>
      <c r="K195" s="224"/>
      <c r="L195" s="224"/>
      <c r="M195" s="224"/>
      <c r="N195" s="224"/>
      <c r="O195" s="224"/>
      <c r="P195" s="185"/>
      <c r="Q195" s="225" t="s">
        <v>15907</v>
      </c>
      <c r="R195" s="182" t="str">
        <f ca="1">IF(ISERROR($V195),"",OFFSET('Smelter Look-up'!$C$4,$V195-4,0)&amp;"")</f>
        <v/>
      </c>
      <c r="S195" s="181" t="str">
        <f t="shared" ca="1" si="24"/>
        <v>CN</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si="25"/>
        <v>0</v>
      </c>
      <c r="AB195" s="228" t="str">
        <f t="shared" si="26"/>
        <v>TantalumZhuzhou Cemented Carbide Group Co., Ltd.</v>
      </c>
    </row>
    <row r="196" spans="1:28" s="227" customFormat="1" ht="89.25">
      <c r="A196" s="181" t="s">
        <v>744</v>
      </c>
      <c r="B196" s="182" t="s">
        <v>1125</v>
      </c>
      <c r="C196" s="186" t="s">
        <v>2496</v>
      </c>
      <c r="D196" s="230"/>
      <c r="E196" s="182" t="s">
        <v>1096</v>
      </c>
      <c r="F196" s="182" t="s">
        <v>744</v>
      </c>
      <c r="G196" s="182" t="s">
        <v>13240</v>
      </c>
      <c r="H196" s="183">
        <v>0</v>
      </c>
      <c r="I196" s="184" t="s">
        <v>1689</v>
      </c>
      <c r="J196" s="184" t="s">
        <v>13618</v>
      </c>
      <c r="K196" s="224"/>
      <c r="L196" s="224"/>
      <c r="M196" s="224"/>
      <c r="N196" s="224"/>
      <c r="O196" s="224"/>
      <c r="P196" s="185"/>
      <c r="Q196" s="225" t="s">
        <v>15815</v>
      </c>
      <c r="R196" s="182" t="str">
        <f ca="1">IF(ISERROR($V196),"",OFFSET('Smelter Look-up'!$C$4,$V196-4,0)&amp;"")</f>
        <v>Gold Refinery of Zijin Mining Group Co., Ltd.</v>
      </c>
      <c r="S196" s="181" t="str">
        <f t="shared" ca="1" si="24"/>
        <v>CN</v>
      </c>
      <c r="T196" s="181" t="str">
        <f ca="1">IF(B196="","",IF(ISERROR(MATCH($J196,SorP!$B$1:$B$6279,0)),"",INDIRECT("'SorP'!$A$"&amp;MATCH($S196&amp;$J196,SorP!C:C,0))))</f>
        <v>CN-FJ</v>
      </c>
      <c r="U196" s="201"/>
      <c r="V196" s="226">
        <f>IF(C196="",NA(),IF(OR(C196="Smelter not listed",C196="Smelter not yet identified"),MATCH($B196&amp;$D196,'Smelter Look-up'!$J:$J,0),MATCH($B196&amp;$C196,'Smelter Look-up'!$J:$J,0)))</f>
        <v>92</v>
      </c>
      <c r="X196" s="227">
        <f t="shared" si="25"/>
        <v>0</v>
      </c>
      <c r="AB196" s="228" t="str">
        <f t="shared" si="26"/>
        <v>GoldGold Refinery of Zijin Mining Group Co., Ltd.</v>
      </c>
    </row>
    <row r="197" spans="1:28" s="227" customFormat="1" ht="38.25">
      <c r="A197" s="181" t="s">
        <v>2208</v>
      </c>
      <c r="B197" s="182" t="s">
        <v>1125</v>
      </c>
      <c r="C197" s="186" t="s">
        <v>2207</v>
      </c>
      <c r="D197" s="230"/>
      <c r="E197" s="182" t="s">
        <v>1113</v>
      </c>
      <c r="F197" s="182" t="s">
        <v>2208</v>
      </c>
      <c r="G197" s="182" t="s">
        <v>13240</v>
      </c>
      <c r="H197" s="183"/>
      <c r="I197" s="184" t="s">
        <v>2312</v>
      </c>
      <c r="J197" s="184" t="s">
        <v>2209</v>
      </c>
      <c r="K197" s="224"/>
      <c r="L197" s="224"/>
      <c r="M197" s="224"/>
      <c r="N197" s="224"/>
      <c r="O197" s="224"/>
      <c r="P197" s="185"/>
      <c r="Q197" s="225"/>
      <c r="R197" s="182" t="str">
        <f ca="1">IF(ISERROR($V197),"",OFFSET('Smelter Look-up'!$C$4,$V197-4,0)&amp;"")</f>
        <v>Morris and Watson</v>
      </c>
      <c r="S197" s="181" t="str">
        <f t="shared" ref="S197" ca="1" si="27">IF(B197="","",IF(ISERROR(MATCH($E197,CL,0)),"Unknown",INDIRECT("'C'!$A$"&amp;MATCH($E197,CL,0)+1)))</f>
        <v>NZ</v>
      </c>
      <c r="T197" s="181" t="str">
        <f ca="1">IF(B197="","",IF(ISERROR(MATCH($J197,SorP!$B$1:$B$6279,0)),"",INDIRECT("'SorP'!$A$"&amp;MATCH($S197&amp;$J197,SorP!C:C,0))))</f>
        <v>NZ-AUK</v>
      </c>
      <c r="U197" s="201"/>
      <c r="V197" s="226">
        <f>IF(C197="",NA(),IF(OR(C197="Smelter not listed",C197="Smelter not yet identified"),MATCH($B197&amp;$D197,'Smelter Look-up'!$J:$J,0),MATCH($B197&amp;$C197,'Smelter Look-up'!$J:$J,0)))</f>
        <v>187</v>
      </c>
      <c r="X197" s="227">
        <f t="shared" ref="X197" si="28">IF(AND(C197="Smelter not listed",OR(LEN(D197)=0,LEN(E197)=0)),1,0)</f>
        <v>0</v>
      </c>
      <c r="AB197" s="228" t="str">
        <f t="shared" ref="AB197" si="29">B197&amp;C197</f>
        <v>GoldMorris and Watson</v>
      </c>
    </row>
    <row r="198" spans="1:28" s="227" customFormat="1" ht="25.5">
      <c r="A198" s="181" t="s">
        <v>2318</v>
      </c>
      <c r="B198" s="182" t="s">
        <v>1125</v>
      </c>
      <c r="C198" s="186" t="s">
        <v>2317</v>
      </c>
      <c r="D198" s="230"/>
      <c r="E198" s="182" t="s">
        <v>13497</v>
      </c>
      <c r="F198" s="182" t="s">
        <v>2318</v>
      </c>
      <c r="G198" s="182" t="s">
        <v>13240</v>
      </c>
      <c r="H198" s="183" t="s">
        <v>15802</v>
      </c>
      <c r="I198" s="184" t="s">
        <v>2319</v>
      </c>
      <c r="J198" s="184" t="s">
        <v>4151</v>
      </c>
      <c r="K198" s="224" t="s">
        <v>15802</v>
      </c>
      <c r="L198" s="224" t="s">
        <v>15802</v>
      </c>
      <c r="M198" s="224" t="s">
        <v>15802</v>
      </c>
      <c r="N198" s="224" t="s">
        <v>15802</v>
      </c>
      <c r="O198" s="224" t="s">
        <v>15891</v>
      </c>
      <c r="P198" s="185" t="s">
        <v>488</v>
      </c>
      <c r="Q198" s="225" t="s">
        <v>15802</v>
      </c>
      <c r="R198" s="182" t="str">
        <f ca="1">IF(ISERROR($V198),"",OFFSET('Smelter Look-up'!$C$4,$V198-4,0)&amp;"")</f>
        <v>SAFINA A.S.</v>
      </c>
      <c r="S198" s="181" t="str">
        <f t="shared" ref="S198:S229" ca="1" si="30">IF(B198="","",IF(ISERROR(MATCH($E198,CL,0)),"Unknown",INDIRECT("'C'!$A$"&amp;MATCH($E198,CL,0)+1)))</f>
        <v>CZ</v>
      </c>
      <c r="T198" s="181" t="str">
        <f ca="1">IF(B198="","",IF(ISERROR(MATCH($J198,SorP!$B$1:$B$6279,0)),"",INDIRECT("'SorP'!$A$"&amp;MATCH($S198&amp;$J198,SorP!C:C,0))))</f>
        <v>CZ-20A</v>
      </c>
      <c r="U198" s="201"/>
      <c r="V198" s="226">
        <f>IF(C198="",NA(),IF(OR(C198="Smelter not listed",C198="Smelter not yet identified"),MATCH($B198&amp;$D198,'Smelter Look-up'!$J:$J,0),MATCH($B198&amp;$C198,'Smelter Look-up'!$J:$J,0)))</f>
        <v>224</v>
      </c>
      <c r="X198" s="227">
        <f t="shared" ref="X198:X229" si="31">IF(AND(C198="Smelter not listed",OR(LEN(D198)=0,LEN(E198)=0)),1,0)</f>
        <v>0</v>
      </c>
      <c r="AB198" s="228" t="str">
        <f t="shared" ref="AB198:AB229" si="32">B198&amp;C198</f>
        <v>GoldSAFINA A.S.</v>
      </c>
    </row>
    <row r="199" spans="1:28" s="227" customFormat="1" ht="63.75">
      <c r="A199" s="181" t="s">
        <v>675</v>
      </c>
      <c r="B199" s="182" t="s">
        <v>1125</v>
      </c>
      <c r="C199" s="186" t="s">
        <v>674</v>
      </c>
      <c r="D199" s="230"/>
      <c r="E199" s="182" t="s">
        <v>1096</v>
      </c>
      <c r="F199" s="182" t="s">
        <v>675</v>
      </c>
      <c r="G199" s="182" t="s">
        <v>13240</v>
      </c>
      <c r="H199" s="183">
        <v>0</v>
      </c>
      <c r="I199" s="184" t="s">
        <v>1691</v>
      </c>
      <c r="J199" s="184" t="s">
        <v>13624</v>
      </c>
      <c r="K199" s="224"/>
      <c r="L199" s="224"/>
      <c r="M199" s="224"/>
      <c r="N199" s="224"/>
      <c r="O199" s="224"/>
      <c r="P199" s="185"/>
      <c r="Q199" s="225"/>
      <c r="R199" s="182" t="str">
        <f ca="1">IF(ISERROR($V199),"",OFFSET('Smelter Look-up'!$C$4,$V199-4,0)&amp;"")</f>
        <v>Guangdong Jinding Gold Limited</v>
      </c>
      <c r="S199" s="181" t="str">
        <f t="shared" ca="1" si="30"/>
        <v>CN</v>
      </c>
      <c r="T199" s="181" t="str">
        <f ca="1">IF(B199="","",IF(ISERROR(MATCH($J199,SorP!$B$1:$B$6279,0)),"",INDIRECT("'SorP'!$A$"&amp;MATCH($S199&amp;$J199,SorP!C:C,0))))</f>
        <v>CN-GD</v>
      </c>
      <c r="U199" s="201"/>
      <c r="V199" s="226">
        <f>IF(C199="",NA(),IF(OR(C199="Smelter not listed",C199="Smelter not yet identified"),MATCH($B199&amp;$D199,'Smelter Look-up'!$J:$J,0),MATCH($B199&amp;$C199,'Smelter Look-up'!$J:$J,0)))</f>
        <v>96</v>
      </c>
      <c r="X199" s="227">
        <f t="shared" si="31"/>
        <v>0</v>
      </c>
      <c r="AB199" s="228" t="str">
        <f t="shared" si="32"/>
        <v>GoldGuangdong Jinding Gold Limited</v>
      </c>
    </row>
    <row r="200" spans="1:28" s="227" customFormat="1" ht="63.75">
      <c r="A200" s="181" t="s">
        <v>147</v>
      </c>
      <c r="B200" s="182" t="s">
        <v>1125</v>
      </c>
      <c r="C200" s="186" t="s">
        <v>146</v>
      </c>
      <c r="D200" s="230"/>
      <c r="E200" s="182" t="s">
        <v>884</v>
      </c>
      <c r="F200" s="182" t="s">
        <v>147</v>
      </c>
      <c r="G200" s="182" t="s">
        <v>13240</v>
      </c>
      <c r="H200" s="183">
        <v>0</v>
      </c>
      <c r="I200" s="184" t="s">
        <v>12407</v>
      </c>
      <c r="J200" s="184" t="s">
        <v>11055</v>
      </c>
      <c r="K200" s="224"/>
      <c r="L200" s="224"/>
      <c r="M200" s="224"/>
      <c r="N200" s="224"/>
      <c r="O200" s="224"/>
      <c r="P200" s="185"/>
      <c r="Q200" s="225" t="s">
        <v>15815</v>
      </c>
      <c r="R200" s="182" t="str">
        <f ca="1">IF(ISERROR($V200),"",OFFSET('Smelter Look-up'!$C$4,$V200-4,0)&amp;"")</f>
        <v>Umicore Precious Metals Thailand</v>
      </c>
      <c r="S200" s="181" t="str">
        <f t="shared" ca="1" si="30"/>
        <v>TH</v>
      </c>
      <c r="T200" s="181" t="str">
        <f ca="1">IF(B200="","",IF(ISERROR(MATCH($J200,SorP!$B$1:$B$6279,0)),"",INDIRECT("'SorP'!$A$"&amp;MATCH($S200&amp;$J200,SorP!C:C,0))))</f>
        <v>TH-10</v>
      </c>
      <c r="U200" s="201"/>
      <c r="V200" s="226">
        <f>IF(C200="",NA(),IF(OR(C200="Smelter not listed",C200="Smelter not yet identified"),MATCH($B200&amp;$D200,'Smelter Look-up'!$J:$J,0),MATCH($B200&amp;$C200,'Smelter Look-up'!$J:$J,0)))</f>
        <v>292</v>
      </c>
      <c r="X200" s="227">
        <f t="shared" si="31"/>
        <v>0</v>
      </c>
      <c r="AB200" s="228" t="str">
        <f t="shared" si="32"/>
        <v>GoldUmicore Precious Metals Thailand</v>
      </c>
    </row>
    <row r="201" spans="1:28" s="227" customFormat="1" ht="102">
      <c r="A201" s="181" t="s">
        <v>140</v>
      </c>
      <c r="B201" s="182" t="s">
        <v>1128</v>
      </c>
      <c r="C201" s="186" t="s">
        <v>151</v>
      </c>
      <c r="D201" s="230"/>
      <c r="E201" s="182" t="s">
        <v>1096</v>
      </c>
      <c r="F201" s="182" t="s">
        <v>140</v>
      </c>
      <c r="G201" s="182" t="s">
        <v>13240</v>
      </c>
      <c r="H201" s="183">
        <v>0</v>
      </c>
      <c r="I201" s="184" t="s">
        <v>1773</v>
      </c>
      <c r="J201" s="184" t="s">
        <v>13619</v>
      </c>
      <c r="K201" s="224"/>
      <c r="L201" s="224"/>
      <c r="M201" s="224"/>
      <c r="N201" s="224"/>
      <c r="O201" s="224"/>
      <c r="P201" s="185"/>
      <c r="Q201" s="225" t="s">
        <v>15815</v>
      </c>
      <c r="R201" s="182" t="str">
        <f ca="1">IF(ISERROR($V201),"",OFFSET('Smelter Look-up'!$C$4,$V201-4,0)&amp;"")</f>
        <v>Ganzhou Jiangwu Ferrotungsten Co., Ltd.</v>
      </c>
      <c r="S201" s="181" t="str">
        <f t="shared" ca="1" si="30"/>
        <v>CN</v>
      </c>
      <c r="T201" s="181" t="str">
        <f ca="1">IF(B201="","",IF(ISERROR(MATCH($J201,SorP!$B$1:$B$6279,0)),"",INDIRECT("'SorP'!$A$"&amp;MATCH($S201&amp;$J201,SorP!C:C,0))))</f>
        <v>CN-JX</v>
      </c>
      <c r="U201" s="201"/>
      <c r="V201" s="226">
        <f>IF(C201="",NA(),IF(OR(C201="Smelter not listed",C201="Smelter not yet identified"),MATCH($B201&amp;$D201,'Smelter Look-up'!$J:$J,0),MATCH($B201&amp;$C201,'Smelter Look-up'!$J:$J,0)))</f>
        <v>582</v>
      </c>
      <c r="X201" s="227">
        <f t="shared" si="31"/>
        <v>0</v>
      </c>
      <c r="AB201" s="228" t="str">
        <f t="shared" si="32"/>
        <v>TungstenGanzhou Jiangwu Ferrotungsten Co., Ltd.</v>
      </c>
    </row>
    <row r="202" spans="1:28" s="227" customFormat="1" ht="89.25">
      <c r="A202" s="181" t="s">
        <v>141</v>
      </c>
      <c r="B202" s="182" t="s">
        <v>1128</v>
      </c>
      <c r="C202" s="186" t="s">
        <v>152</v>
      </c>
      <c r="D202" s="230"/>
      <c r="E202" s="182" t="s">
        <v>1096</v>
      </c>
      <c r="F202" s="182" t="s">
        <v>141</v>
      </c>
      <c r="G202" s="182" t="s">
        <v>13240</v>
      </c>
      <c r="H202" s="183">
        <v>0</v>
      </c>
      <c r="I202" s="184" t="s">
        <v>1773</v>
      </c>
      <c r="J202" s="184" t="s">
        <v>13619</v>
      </c>
      <c r="K202" s="224"/>
      <c r="L202" s="224"/>
      <c r="M202" s="224"/>
      <c r="N202" s="224"/>
      <c r="O202" s="224"/>
      <c r="P202" s="185"/>
      <c r="Q202" s="225" t="s">
        <v>15815</v>
      </c>
      <c r="R202" s="182" t="str">
        <f ca="1">IF(ISERROR($V202),"",OFFSET('Smelter Look-up'!$C$4,$V202-4,0)&amp;"")</f>
        <v>Jiangxi Yaosheng Tungsten Co., Ltd.</v>
      </c>
      <c r="S202" s="181" t="str">
        <f t="shared" ca="1" si="30"/>
        <v>CN</v>
      </c>
      <c r="T202" s="181" t="str">
        <f ca="1">IF(B202="","",IF(ISERROR(MATCH($J202,SorP!$B$1:$B$6279,0)),"",INDIRECT("'SorP'!$A$"&amp;MATCH($S202&amp;$J202,SorP!C:C,0))))</f>
        <v>CN-JX</v>
      </c>
      <c r="U202" s="201"/>
      <c r="V202" s="226">
        <f>IF(C202="",NA(),IF(OR(C202="Smelter not listed",C202="Smelter not yet identified"),MATCH($B202&amp;$D202,'Smelter Look-up'!$J:$J,0),MATCH($B202&amp;$C202,'Smelter Look-up'!$J:$J,0)))</f>
        <v>608</v>
      </c>
      <c r="X202" s="227">
        <f t="shared" si="31"/>
        <v>0</v>
      </c>
      <c r="AB202" s="228" t="str">
        <f t="shared" si="32"/>
        <v>TungstenJiangxi Yaosheng Tungsten Co., Ltd.</v>
      </c>
    </row>
    <row r="203" spans="1:28" s="227" customFormat="1" ht="114.75">
      <c r="A203" s="181" t="s">
        <v>142</v>
      </c>
      <c r="B203" s="182" t="s">
        <v>1128</v>
      </c>
      <c r="C203" s="186" t="s">
        <v>153</v>
      </c>
      <c r="D203" s="230"/>
      <c r="E203" s="182" t="s">
        <v>1096</v>
      </c>
      <c r="F203" s="182" t="s">
        <v>142</v>
      </c>
      <c r="G203" s="182" t="s">
        <v>13240</v>
      </c>
      <c r="H203" s="183">
        <v>0</v>
      </c>
      <c r="I203" s="184" t="s">
        <v>1773</v>
      </c>
      <c r="J203" s="184" t="s">
        <v>13619</v>
      </c>
      <c r="K203" s="224"/>
      <c r="L203" s="224"/>
      <c r="M203" s="224"/>
      <c r="N203" s="224"/>
      <c r="O203" s="224"/>
      <c r="P203" s="185"/>
      <c r="Q203" s="225" t="s">
        <v>15815</v>
      </c>
      <c r="R203" s="182" t="str">
        <f ca="1">IF(ISERROR($V203),"",OFFSET('Smelter Look-up'!$C$4,$V203-4,0)&amp;"")</f>
        <v>Jiangxi Xinsheng Tungsten Industry Co., Ltd.</v>
      </c>
      <c r="S203" s="181" t="str">
        <f t="shared" ca="1" si="30"/>
        <v>CN</v>
      </c>
      <c r="T203" s="181" t="str">
        <f ca="1">IF(B203="","",IF(ISERROR(MATCH($J203,SorP!$B$1:$B$6279,0)),"",INDIRECT("'SorP'!$A$"&amp;MATCH($S203&amp;$J203,SorP!C:C,0))))</f>
        <v>CN-JX</v>
      </c>
      <c r="U203" s="201"/>
      <c r="V203" s="226">
        <f>IF(C203="",NA(),IF(OR(C203="Smelter not listed",C203="Smelter not yet identified"),MATCH($B203&amp;$D203,'Smelter Look-up'!$J:$J,0),MATCH($B203&amp;$C203,'Smelter Look-up'!$J:$J,0)))</f>
        <v>607</v>
      </c>
      <c r="X203" s="227">
        <f t="shared" si="31"/>
        <v>0</v>
      </c>
      <c r="AB203" s="228" t="str">
        <f t="shared" si="32"/>
        <v>TungstenJiangxi Xinsheng Tungsten Industry Co., Ltd.</v>
      </c>
    </row>
    <row r="204" spans="1:28" s="227" customFormat="1" ht="127.5">
      <c r="A204" s="181" t="s">
        <v>143</v>
      </c>
      <c r="B204" s="182" t="s">
        <v>1128</v>
      </c>
      <c r="C204" s="186" t="s">
        <v>154</v>
      </c>
      <c r="D204" s="230"/>
      <c r="E204" s="182" t="s">
        <v>1096</v>
      </c>
      <c r="F204" s="182" t="s">
        <v>143</v>
      </c>
      <c r="G204" s="182" t="s">
        <v>13240</v>
      </c>
      <c r="H204" s="183">
        <v>0</v>
      </c>
      <c r="I204" s="184" t="s">
        <v>1834</v>
      </c>
      <c r="J204" s="184" t="s">
        <v>13619</v>
      </c>
      <c r="K204" s="224"/>
      <c r="L204" s="224"/>
      <c r="M204" s="224"/>
      <c r="N204" s="224"/>
      <c r="O204" s="224"/>
      <c r="P204" s="185"/>
      <c r="Q204" s="225" t="s">
        <v>15815</v>
      </c>
      <c r="R204" s="182" t="str">
        <f ca="1">IF(ISERROR($V204),"",OFFSET('Smelter Look-up'!$C$4,$V204-4,0)&amp;"")</f>
        <v>Jiangxi Tonggu Non-ferrous Metallurgical &amp; Chemical Co., Ltd.</v>
      </c>
      <c r="S204" s="181" t="str">
        <f t="shared" ca="1" si="30"/>
        <v>CN</v>
      </c>
      <c r="T204" s="181" t="str">
        <f ca="1">IF(B204="","",IF(ISERROR(MATCH($J204,SorP!$B$1:$B$6279,0)),"",INDIRECT("'SorP'!$A$"&amp;MATCH($S204&amp;$J204,SorP!C:C,0))))</f>
        <v>CN-JX</v>
      </c>
      <c r="U204" s="201"/>
      <c r="V204" s="226">
        <f>IF(C204="",NA(),IF(OR(C204="Smelter not listed",C204="Smelter not yet identified"),MATCH($B204&amp;$D204,'Smelter Look-up'!$J:$J,0),MATCH($B204&amp;$C204,'Smelter Look-up'!$J:$J,0)))</f>
        <v>604</v>
      </c>
      <c r="X204" s="227">
        <f t="shared" si="31"/>
        <v>0</v>
      </c>
      <c r="AB204" s="228" t="str">
        <f t="shared" si="32"/>
        <v>TungstenJiangxi Tonggu Non-ferrous Metallurgical &amp; Chemical Co., Ltd.</v>
      </c>
    </row>
    <row r="205" spans="1:28" s="227" customFormat="1" ht="76.5">
      <c r="A205" s="181" t="s">
        <v>144</v>
      </c>
      <c r="B205" s="182" t="s">
        <v>1128</v>
      </c>
      <c r="C205" s="186" t="s">
        <v>155</v>
      </c>
      <c r="D205" s="230"/>
      <c r="E205" s="182" t="s">
        <v>1096</v>
      </c>
      <c r="F205" s="182" t="s">
        <v>144</v>
      </c>
      <c r="G205" s="182" t="s">
        <v>13240</v>
      </c>
      <c r="H205" s="183">
        <v>0</v>
      </c>
      <c r="I205" s="184" t="s">
        <v>1835</v>
      </c>
      <c r="J205" s="184" t="s">
        <v>13628</v>
      </c>
      <c r="K205" s="224"/>
      <c r="L205" s="224"/>
      <c r="M205" s="224"/>
      <c r="N205" s="224"/>
      <c r="O205" s="224"/>
      <c r="P205" s="185"/>
      <c r="Q205" s="225" t="s">
        <v>15815</v>
      </c>
      <c r="R205" s="182" t="str">
        <f ca="1">IF(ISERROR($V205),"",OFFSET('Smelter Look-up'!$C$4,$V205-4,0)&amp;"")</f>
        <v>Malipo Haiyu Tungsten Co., Ltd.</v>
      </c>
      <c r="S205" s="181" t="str">
        <f t="shared" ca="1" si="30"/>
        <v>CN</v>
      </c>
      <c r="T205" s="181" t="str">
        <f ca="1">IF(B205="","",IF(ISERROR(MATCH($J205,SorP!$B$1:$B$6279,0)),"",INDIRECT("'SorP'!$A$"&amp;MATCH($S205&amp;$J205,SorP!C:C,0))))</f>
        <v>CN-YN</v>
      </c>
      <c r="U205" s="201"/>
      <c r="V205" s="226">
        <f>IF(C205="",NA(),IF(OR(C205="Smelter not listed",C205="Smelter not yet identified"),MATCH($B205&amp;$D205,'Smelter Look-up'!$J:$J,0),MATCH($B205&amp;$C205,'Smelter Look-up'!$J:$J,0)))</f>
        <v>615</v>
      </c>
      <c r="X205" s="227">
        <f t="shared" si="31"/>
        <v>0</v>
      </c>
      <c r="AB205" s="228" t="str">
        <f t="shared" si="32"/>
        <v>TungstenMalipo Haiyu Tungsten Co., Ltd.</v>
      </c>
    </row>
    <row r="206" spans="1:28" s="227" customFormat="1" ht="76.5">
      <c r="A206" s="181" t="s">
        <v>145</v>
      </c>
      <c r="B206" s="182" t="s">
        <v>1128</v>
      </c>
      <c r="C206" s="186" t="s">
        <v>156</v>
      </c>
      <c r="D206" s="230"/>
      <c r="E206" s="182" t="s">
        <v>1096</v>
      </c>
      <c r="F206" s="182" t="s">
        <v>145</v>
      </c>
      <c r="G206" s="182" t="s">
        <v>13240</v>
      </c>
      <c r="H206" s="183">
        <v>0</v>
      </c>
      <c r="I206" s="184" t="s">
        <v>1832</v>
      </c>
      <c r="J206" s="184" t="s">
        <v>13618</v>
      </c>
      <c r="K206" s="224"/>
      <c r="L206" s="224"/>
      <c r="M206" s="224"/>
      <c r="N206" s="224"/>
      <c r="O206" s="224"/>
      <c r="P206" s="185"/>
      <c r="Q206" s="225" t="s">
        <v>15815</v>
      </c>
      <c r="R206" s="182" t="str">
        <f ca="1">IF(ISERROR($V206),"",OFFSET('Smelter Look-up'!$C$4,$V206-4,0)&amp;"")</f>
        <v>Xiamen Tungsten (H.C.) Co., Ltd.</v>
      </c>
      <c r="S206" s="181" t="str">
        <f t="shared" ca="1" si="30"/>
        <v>CN</v>
      </c>
      <c r="T206" s="181" t="str">
        <f ca="1">IF(B206="","",IF(ISERROR(MATCH($J206,SorP!$B$1:$B$6279,0)),"",INDIRECT("'SorP'!$A$"&amp;MATCH($S206&amp;$J206,SorP!C:C,0))))</f>
        <v>CN-FJ</v>
      </c>
      <c r="U206" s="201"/>
      <c r="V206" s="226">
        <f>IF(C206="",NA(),IF(OR(C206="Smelter not listed",C206="Smelter not yet identified"),MATCH($B206&amp;$D206,'Smelter Look-up'!$J:$J,0),MATCH($B206&amp;$C206,'Smelter Look-up'!$J:$J,0)))</f>
        <v>635</v>
      </c>
      <c r="X206" s="227">
        <f t="shared" si="31"/>
        <v>0</v>
      </c>
      <c r="AB206" s="228" t="str">
        <f t="shared" si="32"/>
        <v>TungstenXiamen Tungsten (H.C.) Co., Ltd.</v>
      </c>
    </row>
    <row r="207" spans="1:28" s="227" customFormat="1" ht="76.5">
      <c r="A207" s="181" t="s">
        <v>138</v>
      </c>
      <c r="B207" s="182" t="s">
        <v>1128</v>
      </c>
      <c r="C207" s="186" t="s">
        <v>157</v>
      </c>
      <c r="D207" s="230"/>
      <c r="E207" s="182" t="s">
        <v>1096</v>
      </c>
      <c r="F207" s="182" t="s">
        <v>138</v>
      </c>
      <c r="G207" s="182" t="s">
        <v>13240</v>
      </c>
      <c r="H207" s="183">
        <v>0</v>
      </c>
      <c r="I207" s="184" t="s">
        <v>1837</v>
      </c>
      <c r="J207" s="184" t="s">
        <v>13619</v>
      </c>
      <c r="K207" s="224"/>
      <c r="L207" s="224"/>
      <c r="M207" s="224"/>
      <c r="N207" s="224"/>
      <c r="O207" s="224"/>
      <c r="P207" s="185"/>
      <c r="Q207" s="225" t="s">
        <v>15815</v>
      </c>
      <c r="R207" s="182" t="str">
        <f ca="1">IF(ISERROR($V207),"",OFFSET('Smelter Look-up'!$C$4,$V207-4,0)&amp;"")</f>
        <v>Jiangxi Gan Bei Tungsten Co., Ltd.</v>
      </c>
      <c r="S207" s="181" t="str">
        <f t="shared" ca="1" si="30"/>
        <v>CN</v>
      </c>
      <c r="T207" s="181" t="str">
        <f ca="1">IF(B207="","",IF(ISERROR(MATCH($J207,SorP!$B$1:$B$6279,0)),"",INDIRECT("'SorP'!$A$"&amp;MATCH($S207&amp;$J207,SorP!C:C,0))))</f>
        <v>CN-JX</v>
      </c>
      <c r="U207" s="201"/>
      <c r="V207" s="226">
        <f>IF(C207="",NA(),IF(OR(C207="Smelter not listed",C207="Smelter not yet identified"),MATCH($B207&amp;$D207,'Smelter Look-up'!$J:$J,0),MATCH($B207&amp;$C207,'Smelter Look-up'!$J:$J,0)))</f>
        <v>602</v>
      </c>
      <c r="X207" s="227">
        <f t="shared" si="31"/>
        <v>0</v>
      </c>
      <c r="AB207" s="228" t="str">
        <f t="shared" si="32"/>
        <v>TungstenJiangxi Gan Bei Tungsten Co., Ltd.</v>
      </c>
    </row>
    <row r="208" spans="1:28" s="227" customFormat="1" ht="51">
      <c r="A208" s="181" t="s">
        <v>15097</v>
      </c>
      <c r="B208" s="182" t="s">
        <v>1126</v>
      </c>
      <c r="C208" s="186" t="s">
        <v>15096</v>
      </c>
      <c r="D208" s="230"/>
      <c r="E208" s="182" t="s">
        <v>1101</v>
      </c>
      <c r="F208" s="182" t="s">
        <v>15097</v>
      </c>
      <c r="G208" s="182" t="s">
        <v>13240</v>
      </c>
      <c r="H208" s="183" t="s">
        <v>15802</v>
      </c>
      <c r="I208" s="184" t="s">
        <v>15143</v>
      </c>
      <c r="J208" s="184" t="s">
        <v>12852</v>
      </c>
      <c r="K208" s="224" t="s">
        <v>15802</v>
      </c>
      <c r="L208" s="224" t="s">
        <v>15802</v>
      </c>
      <c r="M208" s="224" t="s">
        <v>15885</v>
      </c>
      <c r="N208" s="224" t="s">
        <v>15802</v>
      </c>
      <c r="O208" s="224" t="s">
        <v>15886</v>
      </c>
      <c r="P208" s="185" t="s">
        <v>489</v>
      </c>
      <c r="Q208" s="225" t="s">
        <v>15802</v>
      </c>
      <c r="R208" s="182" t="str">
        <f ca="1">IF(ISERROR($V208),"",OFFSET('Smelter Look-up'!$C$4,$V208-4,0)&amp;"")</f>
        <v>CV Venus Inti Perkasa</v>
      </c>
      <c r="S208" s="181" t="str">
        <f t="shared" ca="1" si="30"/>
        <v>ID</v>
      </c>
      <c r="T208" s="181" t="str">
        <f ca="1">IF(B208="","",IF(ISERROR(MATCH($J208,SorP!$B$1:$B$6279,0)),"",INDIRECT("'SorP'!$A$"&amp;MATCH($S208&amp;$J208,SorP!C:C,0))))</f>
        <v>ID-BB</v>
      </c>
      <c r="U208" s="201"/>
      <c r="V208" s="226">
        <f>IF(C208="",NA(),IF(OR(C208="Smelter not listed",C208="Smelter not yet identified"),MATCH($B208&amp;$D208,'Smelter Look-up'!$J:$J,0),MATCH($B208&amp;$C208,'Smelter Look-up'!$J:$J,0)))</f>
        <v>415</v>
      </c>
      <c r="X208" s="227">
        <f t="shared" si="31"/>
        <v>0</v>
      </c>
      <c r="AB208" s="228" t="str">
        <f t="shared" si="32"/>
        <v>TinCV Venus Inti Perkasa</v>
      </c>
    </row>
    <row r="209" spans="1:28" s="227" customFormat="1" ht="51">
      <c r="A209" s="181" t="s">
        <v>1694</v>
      </c>
      <c r="B209" s="182" t="s">
        <v>1125</v>
      </c>
      <c r="C209" s="186" t="s">
        <v>1693</v>
      </c>
      <c r="D209" s="230"/>
      <c r="E209" s="182" t="s">
        <v>2432</v>
      </c>
      <c r="F209" s="182" t="s">
        <v>1694</v>
      </c>
      <c r="G209" s="182" t="s">
        <v>13240</v>
      </c>
      <c r="H209" s="183">
        <v>0</v>
      </c>
      <c r="I209" s="184" t="s">
        <v>1538</v>
      </c>
      <c r="J209" s="184" t="s">
        <v>1539</v>
      </c>
      <c r="K209" s="224"/>
      <c r="L209" s="224"/>
      <c r="M209" s="224"/>
      <c r="N209" s="224"/>
      <c r="O209" s="224"/>
      <c r="P209" s="185"/>
      <c r="Q209" s="225" t="s">
        <v>15815</v>
      </c>
      <c r="R209" s="182" t="str">
        <f ca="1">IF(ISERROR($V209),"",OFFSET('Smelter Look-up'!$C$4,$V209-4,0)&amp;"")</f>
        <v>Geib Refining Corporation</v>
      </c>
      <c r="S209" s="181" t="str">
        <f t="shared" ca="1" si="30"/>
        <v>US</v>
      </c>
      <c r="T209" s="181" t="str">
        <f ca="1">IF(B209="","",IF(ISERROR(MATCH($J209,SorP!$B$1:$B$6279,0)),"",INDIRECT("'SorP'!$A$"&amp;MATCH($S209&amp;$J209,SorP!C:C,0))))</f>
        <v>US-RI</v>
      </c>
      <c r="U209" s="201"/>
      <c r="V209" s="226">
        <f>IF(C209="",NA(),IF(OR(C209="Smelter not listed",C209="Smelter not yet identified"),MATCH($B209&amp;$D209,'Smelter Look-up'!$J:$J,0),MATCH($B209&amp;$C209,'Smelter Look-up'!$J:$J,0)))</f>
        <v>87</v>
      </c>
      <c r="X209" s="227">
        <f t="shared" si="31"/>
        <v>0</v>
      </c>
      <c r="AB209" s="228" t="str">
        <f t="shared" si="32"/>
        <v>GoldGeib Refining Corporation</v>
      </c>
    </row>
    <row r="210" spans="1:28" s="227" customFormat="1" ht="76.5">
      <c r="A210" s="181" t="s">
        <v>139</v>
      </c>
      <c r="B210" s="182" t="s">
        <v>1126</v>
      </c>
      <c r="C210" s="186" t="s">
        <v>2167</v>
      </c>
      <c r="D210" s="230"/>
      <c r="E210" s="182" t="s">
        <v>1092</v>
      </c>
      <c r="F210" s="182" t="s">
        <v>139</v>
      </c>
      <c r="G210" s="182" t="s">
        <v>13240</v>
      </c>
      <c r="H210" s="183">
        <v>0</v>
      </c>
      <c r="I210" s="184" t="s">
        <v>1721</v>
      </c>
      <c r="J210" s="184" t="s">
        <v>1547</v>
      </c>
      <c r="K210" s="224"/>
      <c r="L210" s="224"/>
      <c r="M210" s="224"/>
      <c r="N210" s="224"/>
      <c r="O210" s="224"/>
      <c r="P210" s="185"/>
      <c r="Q210" s="225" t="s">
        <v>15815</v>
      </c>
      <c r="R210" s="182" t="str">
        <f ca="1">IF(ISERROR($V210),"",OFFSET('Smelter Look-up'!$C$4,$V210-4,0)&amp;"")</f>
        <v>Magnu's Minerais Metais e Ligas Ltda.</v>
      </c>
      <c r="S210" s="181" t="str">
        <f t="shared" ca="1" si="30"/>
        <v>BR</v>
      </c>
      <c r="T210" s="181" t="str">
        <f ca="1">IF(B210="","",IF(ISERROR(MATCH($J210,SorP!$B$1:$B$6279,0)),"",INDIRECT("'SorP'!$A$"&amp;MATCH($S210&amp;$J210,SorP!C:C,0))))</f>
        <v>BR-MG</v>
      </c>
      <c r="U210" s="201"/>
      <c r="V210" s="226">
        <f>IF(C210="",NA(),IF(OR(C210="Smelter not listed",C210="Smelter not yet identified"),MATCH($B210&amp;$D210,'Smelter Look-up'!$J:$J,0),MATCH($B210&amp;$C210,'Smelter Look-up'!$J:$J,0)))</f>
        <v>457</v>
      </c>
      <c r="X210" s="227">
        <f t="shared" si="31"/>
        <v>0</v>
      </c>
      <c r="AB210" s="228" t="str">
        <f t="shared" si="32"/>
        <v>TinMagnu's Minerais Metais e Ligas Ltda.</v>
      </c>
    </row>
    <row r="211" spans="1:28" s="227" customFormat="1" ht="51">
      <c r="A211" s="181" t="s">
        <v>15497</v>
      </c>
      <c r="B211" s="182" t="s">
        <v>1126</v>
      </c>
      <c r="C211" s="186" t="s">
        <v>15496</v>
      </c>
      <c r="D211" s="230"/>
      <c r="E211" s="182" t="s">
        <v>1101</v>
      </c>
      <c r="F211" s="182" t="s">
        <v>15497</v>
      </c>
      <c r="G211" s="182" t="s">
        <v>13240</v>
      </c>
      <c r="H211" s="183">
        <v>0</v>
      </c>
      <c r="I211" s="184" t="s">
        <v>15498</v>
      </c>
      <c r="J211" s="184" t="s">
        <v>5993</v>
      </c>
      <c r="K211" s="224"/>
      <c r="L211" s="224"/>
      <c r="M211" s="224"/>
      <c r="N211" s="224"/>
      <c r="O211" s="224"/>
      <c r="P211" s="185"/>
      <c r="Q211" s="225" t="s">
        <v>15880</v>
      </c>
      <c r="R211" s="182" t="str">
        <f ca="1">IF(ISERROR($V211),"",OFFSET('Smelter Look-up'!$C$4,$V211-4,0)&amp;"")</f>
        <v>PT Tirus Putra Mandiri</v>
      </c>
      <c r="S211" s="181" t="str">
        <f t="shared" ca="1" si="30"/>
        <v>ID</v>
      </c>
      <c r="T211" s="181" t="str">
        <f ca="1">IF(B211="","",IF(ISERROR(MATCH($J211,SorP!$B$1:$B$6279,0)),"",INDIRECT("'SorP'!$A$"&amp;MATCH($S211&amp;$J211,SorP!C:C,0))))</f>
        <v>ID-JB</v>
      </c>
      <c r="U211" s="201"/>
      <c r="V211" s="226">
        <f>IF(C211="",NA(),IF(OR(C211="Smelter not listed",C211="Smelter not yet identified"),MATCH($B211&amp;$D211,'Smelter Look-up'!$J:$J,0),MATCH($B211&amp;$C211,'Smelter Look-up'!$J:$J,0)))</f>
        <v>516</v>
      </c>
      <c r="X211" s="227">
        <f t="shared" si="31"/>
        <v>0</v>
      </c>
      <c r="AB211" s="228" t="str">
        <f t="shared" si="32"/>
        <v>TinPT Tirus Putra Mandiri</v>
      </c>
    </row>
    <row r="212" spans="1:28" s="227" customFormat="1" ht="51">
      <c r="A212" s="181" t="s">
        <v>15977</v>
      </c>
      <c r="B212" s="182" t="s">
        <v>1126</v>
      </c>
      <c r="C212" s="186" t="s">
        <v>15978</v>
      </c>
      <c r="D212" s="230" t="s">
        <v>15978</v>
      </c>
      <c r="E212" s="182" t="s">
        <v>1101</v>
      </c>
      <c r="F212" s="182" t="s">
        <v>15977</v>
      </c>
      <c r="G212" s="182" t="s">
        <v>15883</v>
      </c>
      <c r="H212" s="183">
        <v>0</v>
      </c>
      <c r="I212" s="184" t="s">
        <v>15979</v>
      </c>
      <c r="J212" s="184" t="s">
        <v>15980</v>
      </c>
      <c r="K212" s="224"/>
      <c r="L212" s="224"/>
      <c r="M212" s="224"/>
      <c r="N212" s="224"/>
      <c r="O212" s="224"/>
      <c r="P212" s="185"/>
      <c r="Q212" s="225" t="s">
        <v>15907</v>
      </c>
      <c r="R212" s="182" t="str">
        <f ca="1">IF(ISERROR($V212),"",OFFSET('Smelter Look-up'!$C$4,$V212-4,0)&amp;"")</f>
        <v/>
      </c>
      <c r="S212" s="181" t="str">
        <f t="shared" ca="1" si="30"/>
        <v>ID</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si="31"/>
        <v>0</v>
      </c>
      <c r="AB212" s="228" t="str">
        <f t="shared" si="32"/>
        <v>TinPT Wahana Perkit Jaya</v>
      </c>
    </row>
    <row r="213" spans="1:28" s="227" customFormat="1" ht="114.75">
      <c r="A213" s="181" t="s">
        <v>396</v>
      </c>
      <c r="B213" s="182" t="s">
        <v>1127</v>
      </c>
      <c r="C213" s="186" t="s">
        <v>3</v>
      </c>
      <c r="D213" s="230"/>
      <c r="E213" s="182" t="s">
        <v>1096</v>
      </c>
      <c r="F213" s="182" t="s">
        <v>396</v>
      </c>
      <c r="G213" s="182" t="s">
        <v>13240</v>
      </c>
      <c r="H213" s="183">
        <v>0</v>
      </c>
      <c r="I213" s="184" t="s">
        <v>1740</v>
      </c>
      <c r="J213" s="184" t="s">
        <v>13623</v>
      </c>
      <c r="K213" s="224"/>
      <c r="L213" s="224"/>
      <c r="M213" s="224"/>
      <c r="N213" s="224"/>
      <c r="O213" s="224"/>
      <c r="P213" s="185"/>
      <c r="Q213" s="225" t="s">
        <v>15815</v>
      </c>
      <c r="R213" s="182" t="str">
        <f ca="1">IF(ISERROR($V213),"",OFFSET('Smelter Look-up'!$C$4,$V213-4,0)&amp;"")</f>
        <v>Hengyang King Xing Lifeng New Materials Co., Ltd.</v>
      </c>
      <c r="S213" s="181" t="str">
        <f t="shared" ca="1" si="30"/>
        <v>CN</v>
      </c>
      <c r="T213" s="181" t="str">
        <f ca="1">IF(B213="","",IF(ISERROR(MATCH($J213,SorP!$B$1:$B$6279,0)),"",INDIRECT("'SorP'!$A$"&amp;MATCH($S213&amp;$J213,SorP!C:C,0))))</f>
        <v>CN-HN</v>
      </c>
      <c r="U213" s="201"/>
      <c r="V213" s="226">
        <f>IF(C213="",NA(),IF(OR(C213="Smelter not listed",C213="Smelter not yet identified"),MATCH($B213&amp;$D213,'Smelter Look-up'!$J:$J,0),MATCH($B213&amp;$C213,'Smelter Look-up'!$J:$J,0)))</f>
        <v>338</v>
      </c>
      <c r="X213" s="227">
        <f t="shared" si="31"/>
        <v>0</v>
      </c>
      <c r="AB213" s="228" t="str">
        <f t="shared" si="32"/>
        <v>TantalumHengyang King Xing Lifeng New Materials Co., Ltd.</v>
      </c>
    </row>
    <row r="214" spans="1:28" s="227" customFormat="1" ht="89.25">
      <c r="A214" s="181" t="s">
        <v>393</v>
      </c>
      <c r="B214" s="182" t="s">
        <v>1128</v>
      </c>
      <c r="C214" s="186" t="s">
        <v>392</v>
      </c>
      <c r="D214" s="230"/>
      <c r="E214" s="182" t="s">
        <v>1096</v>
      </c>
      <c r="F214" s="182" t="s">
        <v>393</v>
      </c>
      <c r="G214" s="182" t="s">
        <v>13240</v>
      </c>
      <c r="H214" s="183">
        <v>0</v>
      </c>
      <c r="I214" s="184" t="s">
        <v>1773</v>
      </c>
      <c r="J214" s="184" t="s">
        <v>13619</v>
      </c>
      <c r="K214" s="224"/>
      <c r="L214" s="224"/>
      <c r="M214" s="224"/>
      <c r="N214" s="224"/>
      <c r="O214" s="224"/>
      <c r="P214" s="185"/>
      <c r="Q214" s="225" t="s">
        <v>15815</v>
      </c>
      <c r="R214" s="182" t="str">
        <f ca="1">IF(ISERROR($V214),"",OFFSET('Smelter Look-up'!$C$4,$V214-4,0)&amp;"")</f>
        <v>Ganzhou Seadragon W &amp; Mo Co., Ltd.</v>
      </c>
      <c r="S214" s="181" t="str">
        <f t="shared" ca="1" si="30"/>
        <v>CN</v>
      </c>
      <c r="T214" s="181" t="str">
        <f ca="1">IF(B214="","",IF(ISERROR(MATCH($J214,SorP!$B$1:$B$6279,0)),"",INDIRECT("'SorP'!$A$"&amp;MATCH($S214&amp;$J214,SorP!C:C,0))))</f>
        <v>CN-JX</v>
      </c>
      <c r="U214" s="201"/>
      <c r="V214" s="226">
        <f>IF(C214="",NA(),IF(OR(C214="Smelter not listed",C214="Smelter not yet identified"),MATCH($B214&amp;$D214,'Smelter Look-up'!$J:$J,0),MATCH($B214&amp;$C214,'Smelter Look-up'!$J:$J,0)))</f>
        <v>583</v>
      </c>
      <c r="X214" s="227">
        <f t="shared" si="31"/>
        <v>0</v>
      </c>
      <c r="AB214" s="228" t="str">
        <f t="shared" si="32"/>
        <v>TungstenGanzhou Seadragon W &amp; Mo Co., Ltd.</v>
      </c>
    </row>
    <row r="215" spans="1:28" s="227" customFormat="1" ht="51">
      <c r="A215" s="181" t="s">
        <v>1321</v>
      </c>
      <c r="B215" s="182" t="s">
        <v>1126</v>
      </c>
      <c r="C215" s="186" t="s">
        <v>2339</v>
      </c>
      <c r="D215" s="230"/>
      <c r="E215" s="182" t="s">
        <v>1092</v>
      </c>
      <c r="F215" s="182" t="s">
        <v>1321</v>
      </c>
      <c r="G215" s="182" t="s">
        <v>13240</v>
      </c>
      <c r="H215" s="183">
        <v>0</v>
      </c>
      <c r="I215" s="184" t="s">
        <v>1766</v>
      </c>
      <c r="J215" s="184" t="s">
        <v>1770</v>
      </c>
      <c r="K215" s="224"/>
      <c r="L215" s="224"/>
      <c r="M215" s="224"/>
      <c r="N215" s="224"/>
      <c r="O215" s="224"/>
      <c r="P215" s="185"/>
      <c r="Q215" s="225" t="s">
        <v>15815</v>
      </c>
      <c r="R215" s="182" t="str">
        <f ca="1">IF(ISERROR($V215),"",OFFSET('Smelter Look-up'!$C$4,$V215-4,0)&amp;"")</f>
        <v>Melt Metais e Ligas S.A.</v>
      </c>
      <c r="S215" s="181" t="str">
        <f t="shared" ca="1" si="30"/>
        <v>BR</v>
      </c>
      <c r="T215" s="181" t="str">
        <f ca="1">IF(B215="","",IF(ISERROR(MATCH($J215,SorP!$B$1:$B$6279,0)),"",INDIRECT("'SorP'!$A$"&amp;MATCH($S215&amp;$J215,SorP!C:C,0))))</f>
        <v>BR-RO</v>
      </c>
      <c r="U215" s="201"/>
      <c r="V215" s="226">
        <f>IF(C215="",NA(),IF(OR(C215="Smelter not listed",C215="Smelter not yet identified"),MATCH($B215&amp;$D215,'Smelter Look-up'!$J:$J,0),MATCH($B215&amp;$C215,'Smelter Look-up'!$J:$J,0)))</f>
        <v>459</v>
      </c>
      <c r="X215" s="227">
        <f t="shared" si="31"/>
        <v>0</v>
      </c>
      <c r="AB215" s="228" t="str">
        <f t="shared" si="32"/>
        <v>TinMelt Metais e Ligas S.A.</v>
      </c>
    </row>
    <row r="216" spans="1:28" s="227" customFormat="1" ht="102">
      <c r="A216" s="181" t="s">
        <v>13870</v>
      </c>
      <c r="B216" s="182" t="s">
        <v>1128</v>
      </c>
      <c r="C216" s="186" t="s">
        <v>15870</v>
      </c>
      <c r="D216" s="230"/>
      <c r="E216" s="182" t="s">
        <v>888</v>
      </c>
      <c r="F216" s="182" t="s">
        <v>13870</v>
      </c>
      <c r="G216" s="182" t="s">
        <v>13240</v>
      </c>
      <c r="H216" s="183" t="s">
        <v>15802</v>
      </c>
      <c r="I216" s="184" t="s">
        <v>15802</v>
      </c>
      <c r="J216" s="184" t="s">
        <v>15802</v>
      </c>
      <c r="K216" s="224"/>
      <c r="L216" s="224"/>
      <c r="M216" s="224"/>
      <c r="N216" s="224"/>
      <c r="O216" s="224"/>
      <c r="P216" s="185"/>
      <c r="Q216" s="225" t="s">
        <v>15815</v>
      </c>
      <c r="R216" s="182" t="str">
        <f ca="1">IF(ISERROR($V216),"",OFFSET('Smelter Look-up'!$C$4,$V216-4,0)&amp;"")</f>
        <v/>
      </c>
      <c r="S216" s="181" t="str">
        <f t="shared" ca="1" si="30"/>
        <v>VN</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si="31"/>
        <v>0</v>
      </c>
      <c r="AB216" s="228" t="str">
        <f t="shared" si="32"/>
        <v>TungstenAsia Tungsten Products Vietnam Ltd</v>
      </c>
    </row>
    <row r="217" spans="1:28" s="227" customFormat="1" ht="63.75">
      <c r="A217" s="181" t="s">
        <v>1399</v>
      </c>
      <c r="B217" s="182" t="s">
        <v>1126</v>
      </c>
      <c r="C217" s="186" t="s">
        <v>1398</v>
      </c>
      <c r="D217" s="230"/>
      <c r="E217" s="182" t="s">
        <v>1101</v>
      </c>
      <c r="F217" s="182" t="s">
        <v>1399</v>
      </c>
      <c r="G217" s="182" t="s">
        <v>13240</v>
      </c>
      <c r="H217" s="183">
        <v>0</v>
      </c>
      <c r="I217" s="184" t="s">
        <v>1767</v>
      </c>
      <c r="J217" s="184" t="s">
        <v>12852</v>
      </c>
      <c r="K217" s="224"/>
      <c r="L217" s="224"/>
      <c r="M217" s="224"/>
      <c r="N217" s="224"/>
      <c r="O217" s="224"/>
      <c r="P217" s="185"/>
      <c r="Q217" s="225" t="s">
        <v>15815</v>
      </c>
      <c r="R217" s="182" t="str">
        <f ca="1">IF(ISERROR($V217),"",OFFSET('Smelter Look-up'!$C$4,$V217-4,0)&amp;"")</f>
        <v>PT ATD Makmur Mandiri Jaya</v>
      </c>
      <c r="S217" s="181" t="str">
        <f t="shared" ca="1" si="30"/>
        <v>ID</v>
      </c>
      <c r="T217" s="181" t="str">
        <f ca="1">IF(B217="","",IF(ISERROR(MATCH($J217,SorP!$B$1:$B$6279,0)),"",INDIRECT("'SorP'!$A$"&amp;MATCH($S217&amp;$J217,SorP!C:C,0))))</f>
        <v>ID-BB</v>
      </c>
      <c r="U217" s="201"/>
      <c r="V217" s="226">
        <f>IF(C217="",NA(),IF(OR(C217="Smelter not listed",C217="Smelter not yet identified"),MATCH($B217&amp;$D217,'Smelter Look-up'!$J:$J,0),MATCH($B217&amp;$C217,'Smelter Look-up'!$J:$J,0)))</f>
        <v>488</v>
      </c>
      <c r="X217" s="227">
        <f t="shared" si="31"/>
        <v>0</v>
      </c>
      <c r="AB217" s="228" t="str">
        <f t="shared" si="32"/>
        <v>TinPT ATD Makmur Mandiri Jaya</v>
      </c>
    </row>
    <row r="218" spans="1:28" s="227" customFormat="1" ht="63.75">
      <c r="A218" s="181" t="s">
        <v>1391</v>
      </c>
      <c r="B218" s="182" t="s">
        <v>1127</v>
      </c>
      <c r="C218" s="186" t="s">
        <v>1390</v>
      </c>
      <c r="D218" s="230"/>
      <c r="E218" s="182" t="s">
        <v>2432</v>
      </c>
      <c r="F218" s="182" t="s">
        <v>1391</v>
      </c>
      <c r="G218" s="182" t="s">
        <v>13240</v>
      </c>
      <c r="H218" s="183">
        <v>0</v>
      </c>
      <c r="I218" s="184" t="s">
        <v>1741</v>
      </c>
      <c r="J218" s="184" t="s">
        <v>1742</v>
      </c>
      <c r="K218" s="224"/>
      <c r="L218" s="224"/>
      <c r="M218" s="224"/>
      <c r="N218" s="224"/>
      <c r="O218" s="224"/>
      <c r="P218" s="185"/>
      <c r="Q218" s="225" t="s">
        <v>15815</v>
      </c>
      <c r="R218" s="182" t="str">
        <f ca="1">IF(ISERROR($V218),"",OFFSET('Smelter Look-up'!$C$4,$V218-4,0)&amp;"")</f>
        <v>D Block Metals, LLC</v>
      </c>
      <c r="S218" s="181" t="str">
        <f t="shared" ca="1" si="30"/>
        <v>US</v>
      </c>
      <c r="T218" s="181" t="str">
        <f ca="1">IF(B218="","",IF(ISERROR(MATCH($J218,SorP!$B$1:$B$6279,0)),"",INDIRECT("'SorP'!$A$"&amp;MATCH($S218&amp;$J218,SorP!C:C,0))))</f>
        <v>US-NC</v>
      </c>
      <c r="U218" s="201"/>
      <c r="V218" s="226">
        <f>IF(C218="",NA(),IF(OR(C218="Smelter not listed",C218="Smelter not yet identified"),MATCH($B218&amp;$D218,'Smelter Look-up'!$J:$J,0),MATCH($B218&amp;$C218,'Smelter Look-up'!$J:$J,0)))</f>
        <v>326</v>
      </c>
      <c r="X218" s="227">
        <f t="shared" si="31"/>
        <v>0</v>
      </c>
      <c r="AB218" s="228" t="str">
        <f t="shared" si="32"/>
        <v>TantalumD Block Metals, LLC</v>
      </c>
    </row>
    <row r="219" spans="1:28" s="227" customFormat="1" ht="76.5">
      <c r="A219" s="181" t="s">
        <v>1392</v>
      </c>
      <c r="B219" s="182" t="s">
        <v>1127</v>
      </c>
      <c r="C219" s="186" t="s">
        <v>2168</v>
      </c>
      <c r="D219" s="230"/>
      <c r="E219" s="182" t="s">
        <v>1096</v>
      </c>
      <c r="F219" s="182" t="s">
        <v>1392</v>
      </c>
      <c r="G219" s="182" t="s">
        <v>13240</v>
      </c>
      <c r="H219" s="183">
        <v>0</v>
      </c>
      <c r="I219" s="184" t="s">
        <v>1732</v>
      </c>
      <c r="J219" s="184" t="s">
        <v>13623</v>
      </c>
      <c r="K219" s="224"/>
      <c r="L219" s="224"/>
      <c r="M219" s="224"/>
      <c r="N219" s="224"/>
      <c r="O219" s="224"/>
      <c r="P219" s="185"/>
      <c r="Q219" s="225" t="s">
        <v>15815</v>
      </c>
      <c r="R219" s="182" t="str">
        <f ca="1">IF(ISERROR($V219),"",OFFSET('Smelter Look-up'!$C$4,$V219-4,0)&amp;"")</f>
        <v>FIR Metals &amp; Resource Ltd.</v>
      </c>
      <c r="S219" s="181" t="str">
        <f t="shared" ca="1" si="30"/>
        <v>CN</v>
      </c>
      <c r="T219" s="181" t="str">
        <f ca="1">IF(B219="","",IF(ISERROR(MATCH($J219,SorP!$B$1:$B$6279,0)),"",INDIRECT("'SorP'!$A$"&amp;MATCH($S219&amp;$J219,SorP!C:C,0))))</f>
        <v>CN-HN</v>
      </c>
      <c r="U219" s="201"/>
      <c r="V219" s="226">
        <f>IF(C219="",NA(),IF(OR(C219="Smelter not listed",C219="Smelter not yet identified"),MATCH($B219&amp;$D219,'Smelter Look-up'!$J:$J,0),MATCH($B219&amp;$C219,'Smelter Look-up'!$J:$J,0)))</f>
        <v>329</v>
      </c>
      <c r="X219" s="227">
        <f t="shared" si="31"/>
        <v>0</v>
      </c>
      <c r="AB219" s="228" t="str">
        <f t="shared" si="32"/>
        <v>TantalumFIR Metals &amp; Resource Ltd.</v>
      </c>
    </row>
    <row r="220" spans="1:28" s="227" customFormat="1" ht="127.5">
      <c r="A220" s="181" t="s">
        <v>1394</v>
      </c>
      <c r="B220" s="182" t="s">
        <v>1127</v>
      </c>
      <c r="C220" s="186" t="s">
        <v>2169</v>
      </c>
      <c r="D220" s="230"/>
      <c r="E220" s="182" t="s">
        <v>1096</v>
      </c>
      <c r="F220" s="182" t="s">
        <v>1394</v>
      </c>
      <c r="G220" s="182" t="s">
        <v>13240</v>
      </c>
      <c r="H220" s="183">
        <v>0</v>
      </c>
      <c r="I220" s="184" t="s">
        <v>1720</v>
      </c>
      <c r="J220" s="184" t="s">
        <v>13619</v>
      </c>
      <c r="K220" s="224"/>
      <c r="L220" s="224"/>
      <c r="M220" s="224"/>
      <c r="N220" s="224"/>
      <c r="O220" s="224"/>
      <c r="P220" s="185"/>
      <c r="Q220" s="225" t="s">
        <v>15815</v>
      </c>
      <c r="R220" s="182" t="str">
        <f ca="1">IF(ISERROR($V220),"",OFFSET('Smelter Look-up'!$C$4,$V220-4,0)&amp;"")</f>
        <v>Jiujiang Zhongao Tantalum &amp; Niobium Co., Ltd.</v>
      </c>
      <c r="S220" s="181" t="str">
        <f t="shared" ca="1" si="30"/>
        <v>CN</v>
      </c>
      <c r="T220" s="181" t="str">
        <f ca="1">IF(B220="","",IF(ISERROR(MATCH($J220,SorP!$B$1:$B$6279,0)),"",INDIRECT("'SorP'!$A$"&amp;MATCH($S220&amp;$J220,SorP!C:C,0))))</f>
        <v>CN-JX</v>
      </c>
      <c r="U220" s="201"/>
      <c r="V220" s="226">
        <f>IF(C220="",NA(),IF(OR(C220="Smelter not listed",C220="Smelter not yet identified"),MATCH($B220&amp;$D220,'Smelter Look-up'!$J:$J,0),MATCH($B220&amp;$C220,'Smelter Look-up'!$J:$J,0)))</f>
        <v>344</v>
      </c>
      <c r="X220" s="227">
        <f t="shared" si="31"/>
        <v>0</v>
      </c>
      <c r="AB220" s="228" t="str">
        <f t="shared" si="32"/>
        <v>TantalumJiujiang Zhongao Tantalum &amp; Niobium Co., Ltd.</v>
      </c>
    </row>
    <row r="221" spans="1:28" s="227" customFormat="1" ht="127.5">
      <c r="A221" s="181" t="s">
        <v>1395</v>
      </c>
      <c r="B221" s="182" t="s">
        <v>1127</v>
      </c>
      <c r="C221" s="186" t="s">
        <v>2170</v>
      </c>
      <c r="D221" s="230"/>
      <c r="E221" s="182" t="s">
        <v>1096</v>
      </c>
      <c r="F221" s="182" t="s">
        <v>1395</v>
      </c>
      <c r="G221" s="182" t="s">
        <v>13240</v>
      </c>
      <c r="H221" s="183">
        <v>0</v>
      </c>
      <c r="I221" s="184" t="s">
        <v>1743</v>
      </c>
      <c r="J221" s="184" t="s">
        <v>13624</v>
      </c>
      <c r="K221" s="224"/>
      <c r="L221" s="224"/>
      <c r="M221" s="224"/>
      <c r="N221" s="224"/>
      <c r="O221" s="224"/>
      <c r="P221" s="185"/>
      <c r="Q221" s="225" t="s">
        <v>15815</v>
      </c>
      <c r="R221" s="182" t="str">
        <f ca="1">IF(ISERROR($V221),"",OFFSET('Smelter Look-up'!$C$4,$V221-4,0)&amp;"")</f>
        <v>XinXing HaoRong Electronic Material Co., Ltd.</v>
      </c>
      <c r="S221" s="181" t="str">
        <f t="shared" ca="1" si="30"/>
        <v>CN</v>
      </c>
      <c r="T221" s="181" t="str">
        <f ca="1">IF(B221="","",IF(ISERROR(MATCH($J221,SorP!$B$1:$B$6279,0)),"",INDIRECT("'SorP'!$A$"&amp;MATCH($S221&amp;$J221,SorP!C:C,0))))</f>
        <v>CN-GD</v>
      </c>
      <c r="U221" s="201"/>
      <c r="V221" s="226">
        <f>IF(C221="",NA(),IF(OR(C221="Smelter not listed",C221="Smelter not yet identified"),MATCH($B221&amp;$D221,'Smelter Look-up'!$J:$J,0),MATCH($B221&amp;$C221,'Smelter Look-up'!$J:$J,0)))</f>
        <v>381</v>
      </c>
      <c r="X221" s="227">
        <f t="shared" si="31"/>
        <v>0</v>
      </c>
      <c r="AB221" s="228" t="str">
        <f t="shared" si="32"/>
        <v>TantalumXinXing HaoRong Electronic Material Co., Ltd.</v>
      </c>
    </row>
    <row r="222" spans="1:28" s="227" customFormat="1" ht="76.5">
      <c r="A222" s="181" t="s">
        <v>1386</v>
      </c>
      <c r="B222" s="182" t="s">
        <v>1125</v>
      </c>
      <c r="C222" s="186" t="s">
        <v>2171</v>
      </c>
      <c r="D222" s="230"/>
      <c r="E222" s="182" t="s">
        <v>1102</v>
      </c>
      <c r="F222" s="182" t="s">
        <v>1386</v>
      </c>
      <c r="G222" s="182" t="s">
        <v>13240</v>
      </c>
      <c r="H222" s="183">
        <v>0</v>
      </c>
      <c r="I222" s="184" t="s">
        <v>1695</v>
      </c>
      <c r="J222" s="184" t="s">
        <v>15824</v>
      </c>
      <c r="K222" s="224"/>
      <c r="L222" s="224"/>
      <c r="M222" s="224"/>
      <c r="N222" s="224"/>
      <c r="O222" s="224"/>
      <c r="P222" s="185"/>
      <c r="Q222" s="225" t="s">
        <v>15815</v>
      </c>
      <c r="R222" s="182" t="str">
        <f ca="1">IF(ISERROR($V222),"",OFFSET('Smelter Look-up'!$C$4,$V222-4,0)&amp;"")</f>
        <v>MMTC-PAMP India Pvt., Ltd.</v>
      </c>
      <c r="S222" s="181" t="str">
        <f t="shared" ca="1" si="30"/>
        <v>IN</v>
      </c>
      <c r="T222" s="181" t="str">
        <f ca="1">IF(B222="","",IF(ISERROR(MATCH($J222,SorP!$B$1:$B$6279,0)),"",INDIRECT("'SorP'!$A$"&amp;MATCH($S222&amp;$J222,SorP!C:C,0))))</f>
        <v/>
      </c>
      <c r="U222" s="201"/>
      <c r="V222" s="226">
        <f>IF(C222="",NA(),IF(OR(C222="Smelter not listed",C222="Smelter not yet identified"),MATCH($B222&amp;$D222,'Smelter Look-up'!$J:$J,0),MATCH($B222&amp;$C222,'Smelter Look-up'!$J:$J,0)))</f>
        <v>185</v>
      </c>
      <c r="X222" s="227">
        <f t="shared" si="31"/>
        <v>0</v>
      </c>
      <c r="AB222" s="228" t="str">
        <f t="shared" si="32"/>
        <v>GoldMMTC-PAMP India Pvt., Ltd.</v>
      </c>
    </row>
    <row r="223" spans="1:28" s="227" customFormat="1" ht="63.75">
      <c r="A223" s="181" t="s">
        <v>15981</v>
      </c>
      <c r="B223" s="182" t="s">
        <v>1125</v>
      </c>
      <c r="C223" s="186" t="s">
        <v>15982</v>
      </c>
      <c r="D223" s="230" t="s">
        <v>15982</v>
      </c>
      <c r="E223" s="182" t="s">
        <v>2432</v>
      </c>
      <c r="F223" s="182" t="s">
        <v>15981</v>
      </c>
      <c r="G223" s="182" t="s">
        <v>15883</v>
      </c>
      <c r="H223" s="183">
        <v>0</v>
      </c>
      <c r="I223" s="184" t="s">
        <v>15983</v>
      </c>
      <c r="J223" s="184" t="s">
        <v>1696</v>
      </c>
      <c r="K223" s="224"/>
      <c r="L223" s="224"/>
      <c r="M223" s="224"/>
      <c r="N223" s="224"/>
      <c r="O223" s="224"/>
      <c r="P223" s="185"/>
      <c r="Q223" s="225" t="s">
        <v>15907</v>
      </c>
      <c r="R223" s="182" t="str">
        <f ca="1">IF(ISERROR($V223),"",OFFSET('Smelter Look-up'!$C$4,$V223-4,0)&amp;"")</f>
        <v/>
      </c>
      <c r="S223" s="181" t="str">
        <f t="shared" ca="1" si="30"/>
        <v>US</v>
      </c>
      <c r="T223" s="181" t="str">
        <f ca="1">IF(B223="","",IF(ISERROR(MATCH($J223,SorP!$B$1:$B$6279,0)),"",INDIRECT("'SorP'!$A$"&amp;MATCH($S223&amp;$J223,SorP!C:C,0))))</f>
        <v>US-FL</v>
      </c>
      <c r="U223" s="201"/>
      <c r="V223" s="226" t="e">
        <f>IF(C223="",NA(),IF(OR(C223="Smelter not listed",C223="Smelter not yet identified"),MATCH($B223&amp;$D223,'Smelter Look-up'!$J:$J,0),MATCH($B223&amp;$C223,'Smelter Look-up'!$J:$J,0)))</f>
        <v>#N/A</v>
      </c>
      <c r="X223" s="227">
        <f t="shared" si="31"/>
        <v>0</v>
      </c>
      <c r="AB223" s="228" t="str">
        <f t="shared" si="32"/>
        <v>GoldRepublic Metals Corporation</v>
      </c>
    </row>
    <row r="224" spans="1:28" s="227" customFormat="1" ht="76.5">
      <c r="A224" s="181" t="s">
        <v>1384</v>
      </c>
      <c r="B224" s="182" t="s">
        <v>1125</v>
      </c>
      <c r="C224" s="186" t="s">
        <v>12706</v>
      </c>
      <c r="D224" s="230"/>
      <c r="E224" s="182" t="s">
        <v>878</v>
      </c>
      <c r="F224" s="182" t="s">
        <v>1384</v>
      </c>
      <c r="G224" s="182" t="s">
        <v>13240</v>
      </c>
      <c r="H224" s="183">
        <v>0</v>
      </c>
      <c r="I224" s="184" t="s">
        <v>1697</v>
      </c>
      <c r="J224" s="184" t="s">
        <v>9494</v>
      </c>
      <c r="K224" s="224"/>
      <c r="L224" s="224"/>
      <c r="M224" s="224"/>
      <c r="N224" s="224"/>
      <c r="O224" s="224"/>
      <c r="P224" s="185"/>
      <c r="Q224" s="225" t="s">
        <v>15815</v>
      </c>
      <c r="R224" s="182" t="str">
        <f ca="1">IF(ISERROR($V224),"",OFFSET('Smelter Look-up'!$C$4,$V224-4,0)&amp;"")</f>
        <v>KGHM Polska Miedz Spolka Akcyjna</v>
      </c>
      <c r="S224" s="181" t="str">
        <f t="shared" ca="1" si="30"/>
        <v>PL</v>
      </c>
      <c r="T224" s="181" t="str">
        <f ca="1">IF(B224="","",IF(ISERROR(MATCH($J224,SorP!$B$1:$B$6279,0)),"",INDIRECT("'SorP'!$A$"&amp;MATCH($S224&amp;$J224,SorP!C:C,0))))</f>
        <v>PL-02</v>
      </c>
      <c r="U224" s="201"/>
      <c r="V224" s="226">
        <f>IF(C224="",NA(),IF(OR(C224="Smelter not listed",C224="Smelter not yet identified"),MATCH($B224&amp;$D224,'Smelter Look-up'!$J:$J,0),MATCH($B224&amp;$C224,'Smelter Look-up'!$J:$J,0)))</f>
        <v>139</v>
      </c>
      <c r="X224" s="227">
        <f t="shared" si="31"/>
        <v>0</v>
      </c>
      <c r="AB224" s="228" t="str">
        <f t="shared" si="32"/>
        <v>GoldKGHM Polska Miedz Spolka Akcyjna</v>
      </c>
    </row>
    <row r="225" spans="1:28" s="227" customFormat="1" ht="102">
      <c r="A225" s="181" t="s">
        <v>1393</v>
      </c>
      <c r="B225" s="182" t="s">
        <v>1127</v>
      </c>
      <c r="C225" s="186" t="s">
        <v>2172</v>
      </c>
      <c r="D225" s="230"/>
      <c r="E225" s="182" t="s">
        <v>1096</v>
      </c>
      <c r="F225" s="182" t="s">
        <v>1393</v>
      </c>
      <c r="G225" s="182" t="s">
        <v>13240</v>
      </c>
      <c r="H225" s="183">
        <v>0</v>
      </c>
      <c r="I225" s="184" t="s">
        <v>1744</v>
      </c>
      <c r="J225" s="184" t="s">
        <v>13619</v>
      </c>
      <c r="K225" s="224"/>
      <c r="L225" s="224"/>
      <c r="M225" s="224"/>
      <c r="N225" s="224"/>
      <c r="O225" s="224"/>
      <c r="P225" s="185"/>
      <c r="Q225" s="225" t="s">
        <v>15815</v>
      </c>
      <c r="R225" s="182" t="str">
        <f ca="1">IF(ISERROR($V225),"",OFFSET('Smelter Look-up'!$C$4,$V225-4,0)&amp;"")</f>
        <v>Jiangxi Dinghai Tantalum &amp; Niobium Co., Ltd.</v>
      </c>
      <c r="S225" s="181" t="str">
        <f t="shared" ca="1" si="30"/>
        <v>CN</v>
      </c>
      <c r="T225" s="181" t="str">
        <f ca="1">IF(B225="","",IF(ISERROR(MATCH($J225,SorP!$B$1:$B$6279,0)),"",INDIRECT("'SorP'!$A$"&amp;MATCH($S225&amp;$J225,SorP!C:C,0))))</f>
        <v>CN-JX</v>
      </c>
      <c r="U225" s="201"/>
      <c r="V225" s="226">
        <f>IF(C225="",NA(),IF(OR(C225="Smelter not listed",C225="Smelter not yet identified"),MATCH($B225&amp;$D225,'Smelter Look-up'!$J:$J,0),MATCH($B225&amp;$C225,'Smelter Look-up'!$J:$J,0)))</f>
        <v>339</v>
      </c>
      <c r="X225" s="227">
        <f t="shared" si="31"/>
        <v>0</v>
      </c>
      <c r="AB225" s="228" t="str">
        <f t="shared" si="32"/>
        <v>TantalumJiangxi Dinghai Tantalum &amp; Niobium Co., Ltd.</v>
      </c>
    </row>
    <row r="226" spans="1:28" s="227" customFormat="1" ht="114.75">
      <c r="A226" s="181" t="s">
        <v>1401</v>
      </c>
      <c r="B226" s="182" t="s">
        <v>1128</v>
      </c>
      <c r="C226" s="186" t="s">
        <v>1400</v>
      </c>
      <c r="D226" s="230"/>
      <c r="E226" s="182" t="s">
        <v>1096</v>
      </c>
      <c r="F226" s="182" t="s">
        <v>1401</v>
      </c>
      <c r="G226" s="182" t="s">
        <v>13240</v>
      </c>
      <c r="H226" s="183">
        <v>0</v>
      </c>
      <c r="I226" s="184" t="s">
        <v>1774</v>
      </c>
      <c r="J226" s="184" t="s">
        <v>13623</v>
      </c>
      <c r="K226" s="224"/>
      <c r="L226" s="224"/>
      <c r="M226" s="224"/>
      <c r="N226" s="224"/>
      <c r="O226" s="224"/>
      <c r="P226" s="185"/>
      <c r="Q226" s="225" t="s">
        <v>15815</v>
      </c>
      <c r="R226" s="182" t="str">
        <f ca="1">IF(ISERROR($V226),"",OFFSET('Smelter Look-up'!$C$4,$V226-4,0)&amp;"")</f>
        <v>Hunan Shizhuyuan Nonferrous Metals Co., Ltd. Chenzhou Tungsten Products Branch</v>
      </c>
      <c r="S226" s="181" t="str">
        <f t="shared" ca="1" si="30"/>
        <v>CN</v>
      </c>
      <c r="T226" s="181" t="str">
        <f ca="1">IF(B226="","",IF(ISERROR(MATCH($J226,SorP!$B$1:$B$6279,0)),"",INDIRECT("'SorP'!$A$"&amp;MATCH($S226&amp;$J226,SorP!C:C,0))))</f>
        <v>CN-HN</v>
      </c>
      <c r="U226" s="201"/>
      <c r="V226" s="226">
        <f>IF(C226="",NA(),IF(OR(C226="Smelter not listed",C226="Smelter not yet identified"),MATCH($B226&amp;$D226,'Smelter Look-up'!$J:$J,0),MATCH($B226&amp;$C226,'Smelter Look-up'!$J:$J,0)))</f>
        <v>569</v>
      </c>
      <c r="X226" s="227">
        <f t="shared" si="31"/>
        <v>0</v>
      </c>
      <c r="AB226" s="228" t="str">
        <f t="shared" si="32"/>
        <v>TungstenChenzhou Diamond Tungsten Products Co., Ltd.</v>
      </c>
    </row>
    <row r="227" spans="1:28" s="227" customFormat="1" ht="63.75">
      <c r="A227" s="181" t="s">
        <v>1389</v>
      </c>
      <c r="B227" s="182" t="s">
        <v>1125</v>
      </c>
      <c r="C227" s="186" t="s">
        <v>1388</v>
      </c>
      <c r="D227" s="230"/>
      <c r="E227" s="182" t="s">
        <v>2431</v>
      </c>
      <c r="F227" s="182" t="s">
        <v>1389</v>
      </c>
      <c r="G227" s="182" t="s">
        <v>13240</v>
      </c>
      <c r="H227" s="183">
        <v>0</v>
      </c>
      <c r="I227" s="184" t="s">
        <v>1700</v>
      </c>
      <c r="J227" s="184" t="s">
        <v>1701</v>
      </c>
      <c r="K227" s="224"/>
      <c r="L227" s="224"/>
      <c r="M227" s="224"/>
      <c r="N227" s="224"/>
      <c r="O227" s="224"/>
      <c r="P227" s="185"/>
      <c r="Q227" s="225" t="s">
        <v>15815</v>
      </c>
      <c r="R227" s="182" t="str">
        <f ca="1">IF(ISERROR($V227),"",OFFSET('Smelter Look-up'!$C$4,$V227-4,0)&amp;"")</f>
        <v>Singway Technology Co., Ltd.</v>
      </c>
      <c r="S227" s="181" t="str">
        <f t="shared" ca="1" si="30"/>
        <v>TW</v>
      </c>
      <c r="T227" s="181" t="str">
        <f ca="1">IF(B227="","",IF(ISERROR(MATCH($J227,SorP!$B$1:$B$6279,0)),"",INDIRECT("'SorP'!$A$"&amp;MATCH($S227&amp;$J227,SorP!C:C,0))))</f>
        <v>TW-TAO</v>
      </c>
      <c r="U227" s="201"/>
      <c r="V227" s="226">
        <f>IF(C227="",NA(),IF(OR(C227="Smelter not listed",C227="Smelter not yet identified"),MATCH($B227&amp;$D227,'Smelter Look-up'!$J:$J,0),MATCH($B227&amp;$C227,'Smelter Look-up'!$J:$J,0)))</f>
        <v>255</v>
      </c>
      <c r="X227" s="227">
        <f t="shared" si="31"/>
        <v>0</v>
      </c>
      <c r="AB227" s="228" t="str">
        <f t="shared" si="32"/>
        <v>GoldSingway Technology Co., Ltd.</v>
      </c>
    </row>
    <row r="228" spans="1:28" s="227" customFormat="1" ht="63.75">
      <c r="A228" s="181" t="s">
        <v>1397</v>
      </c>
      <c r="B228" s="182" t="s">
        <v>1126</v>
      </c>
      <c r="C228" s="186" t="s">
        <v>1396</v>
      </c>
      <c r="D228" s="230"/>
      <c r="E228" s="182" t="s">
        <v>877</v>
      </c>
      <c r="F228" s="182" t="s">
        <v>1397</v>
      </c>
      <c r="G228" s="182" t="s">
        <v>13240</v>
      </c>
      <c r="H228" s="183">
        <v>0</v>
      </c>
      <c r="I228" s="184" t="s">
        <v>12942</v>
      </c>
      <c r="J228" s="184" t="s">
        <v>9451</v>
      </c>
      <c r="K228" s="224"/>
      <c r="L228" s="224"/>
      <c r="M228" s="224"/>
      <c r="N228" s="224"/>
      <c r="O228" s="224"/>
      <c r="P228" s="185"/>
      <c r="Q228" s="225" t="s">
        <v>15815</v>
      </c>
      <c r="R228" s="182" t="str">
        <f ca="1">IF(ISERROR($V228),"",OFFSET('Smelter Look-up'!$C$4,$V228-4,0)&amp;"")</f>
        <v>O.M. Manufacturing Philippines, Inc.</v>
      </c>
      <c r="S228" s="181" t="str">
        <f t="shared" ca="1" si="30"/>
        <v>PH</v>
      </c>
      <c r="T228" s="181" t="str">
        <f ca="1">IF(B228="","",IF(ISERROR(MATCH($J228,SorP!$B$1:$B$6279,0)),"",INDIRECT("'SorP'!$A$"&amp;MATCH($S228&amp;$J228,SorP!C:C,0))))</f>
        <v>PH-CAV</v>
      </c>
      <c r="U228" s="201"/>
      <c r="V228" s="226">
        <f>IF(C228="",NA(),IF(OR(C228="Smelter not listed",C228="Smelter not yet identified"),MATCH($B228&amp;$D228,'Smelter Look-up'!$J:$J,0),MATCH($B228&amp;$C228,'Smelter Look-up'!$J:$J,0)))</f>
        <v>480</v>
      </c>
      <c r="X228" s="227">
        <f t="shared" si="31"/>
        <v>0</v>
      </c>
      <c r="AB228" s="228" t="str">
        <f t="shared" si="32"/>
        <v>TinO.M. Manufacturing Philippines, Inc.</v>
      </c>
    </row>
    <row r="229" spans="1:28" s="227" customFormat="1" ht="76.5">
      <c r="A229" s="181" t="s">
        <v>13794</v>
      </c>
      <c r="B229" s="182" t="s">
        <v>1125</v>
      </c>
      <c r="C229" s="186" t="s">
        <v>13793</v>
      </c>
      <c r="D229" s="230"/>
      <c r="E229" s="182" t="s">
        <v>1096</v>
      </c>
      <c r="F229" s="182" t="s">
        <v>13794</v>
      </c>
      <c r="G229" s="182" t="s">
        <v>13240</v>
      </c>
      <c r="H229" s="183"/>
      <c r="I229" s="184" t="s">
        <v>1655</v>
      </c>
      <c r="J229" s="184" t="s">
        <v>13620</v>
      </c>
      <c r="K229" s="224"/>
      <c r="L229" s="224"/>
      <c r="M229" s="224"/>
      <c r="N229" s="224"/>
      <c r="O229" s="224"/>
      <c r="P229" s="185"/>
      <c r="Q229" s="225"/>
      <c r="R229" s="182" t="str">
        <f ca="1">IF(ISERROR($V229),"",OFFSET('Smelter Look-up'!$C$4,$V229-4,0)&amp;"")</f>
        <v>Shandong Humon Smelting Co., Ltd.</v>
      </c>
      <c r="S229" s="181" t="str">
        <f t="shared" ca="1" si="30"/>
        <v>CN</v>
      </c>
      <c r="T229" s="181" t="str">
        <f ca="1">IF(B229="","",IF(ISERROR(MATCH($J229,SorP!$B$1:$B$6279,0)),"",INDIRECT("'SorP'!$A$"&amp;MATCH($S229&amp;$J229,SorP!C:C,0))))</f>
        <v>CN-SD</v>
      </c>
      <c r="U229" s="201"/>
      <c r="V229" s="226">
        <f>IF(C229="",NA(),IF(OR(C229="Smelter not listed",C229="Smelter not yet identified"),MATCH($B229&amp;$D229,'Smelter Look-up'!$J:$J,0),MATCH($B229&amp;$C229,'Smelter Look-up'!$J:$J,0)))</f>
        <v>242</v>
      </c>
      <c r="X229" s="227">
        <f t="shared" si="31"/>
        <v>0</v>
      </c>
      <c r="AB229" s="228" t="str">
        <f t="shared" si="32"/>
        <v>GoldShandong Humon Smelting Co., Ltd.</v>
      </c>
    </row>
    <row r="230" spans="1:28" s="227" customFormat="1" ht="51">
      <c r="A230" s="181" t="s">
        <v>15984</v>
      </c>
      <c r="B230" s="182" t="s">
        <v>1126</v>
      </c>
      <c r="C230" s="186" t="s">
        <v>15985</v>
      </c>
      <c r="D230" s="230" t="s">
        <v>15985</v>
      </c>
      <c r="E230" s="182" t="s">
        <v>1101</v>
      </c>
      <c r="F230" s="182" t="s">
        <v>15984</v>
      </c>
      <c r="G230" s="182" t="s">
        <v>15883</v>
      </c>
      <c r="H230" s="183">
        <v>0</v>
      </c>
      <c r="I230" s="184" t="s">
        <v>1767</v>
      </c>
      <c r="J230" s="184" t="s">
        <v>15884</v>
      </c>
      <c r="K230" s="224"/>
      <c r="L230" s="224"/>
      <c r="M230" s="224"/>
      <c r="N230" s="224"/>
      <c r="O230" s="224"/>
      <c r="P230" s="185"/>
      <c r="Q230" s="225" t="s">
        <v>15907</v>
      </c>
      <c r="R230" s="182" t="str">
        <f ca="1">IF(ISERROR($V230),"",OFFSET('Smelter Look-up'!$C$4,$V230-4,0)&amp;"")</f>
        <v/>
      </c>
      <c r="S230" s="181" t="str">
        <f t="shared" ref="S230:S260" ca="1" si="33">IF(B230="","",IF(ISERROR(MATCH($E230,CL,0)),"Unknown",INDIRECT("'C'!$A$"&amp;MATCH($E230,CL,0)+1)))</f>
        <v>ID</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ref="X230:X260" si="34">IF(AND(C230="Smelter not listed",OR(LEN(D230)=0,LEN(E230)=0)),1,0)</f>
        <v>0</v>
      </c>
      <c r="AB230" s="228" t="str">
        <f t="shared" ref="AB230:AB260" si="35">B230&amp;C230</f>
        <v>TinPT Inti Stania Prima</v>
      </c>
    </row>
    <row r="231" spans="1:28" s="227" customFormat="1" ht="51">
      <c r="A231" s="181" t="s">
        <v>1419</v>
      </c>
      <c r="B231" s="182" t="s">
        <v>1127</v>
      </c>
      <c r="C231" s="186" t="s">
        <v>1418</v>
      </c>
      <c r="D231" s="230"/>
      <c r="E231" s="182" t="s">
        <v>1109</v>
      </c>
      <c r="F231" s="182" t="s">
        <v>1419</v>
      </c>
      <c r="G231" s="182" t="s">
        <v>13240</v>
      </c>
      <c r="H231" s="183">
        <v>0</v>
      </c>
      <c r="I231" s="184" t="s">
        <v>1745</v>
      </c>
      <c r="J231" s="184" t="s">
        <v>1746</v>
      </c>
      <c r="K231" s="224"/>
      <c r="L231" s="224"/>
      <c r="M231" s="224"/>
      <c r="N231" s="224"/>
      <c r="O231" s="224"/>
      <c r="P231" s="185"/>
      <c r="Q231" s="225" t="s">
        <v>15815</v>
      </c>
      <c r="R231" s="182" t="str">
        <f ca="1">IF(ISERROR($V231),"",OFFSET('Smelter Look-up'!$C$4,$V231-4,0)&amp;"")</f>
        <v>KEMET de Mexico</v>
      </c>
      <c r="S231" s="181" t="str">
        <f t="shared" ca="1" si="33"/>
        <v>MX</v>
      </c>
      <c r="T231" s="181" t="str">
        <f ca="1">IF(B231="","",IF(ISERROR(MATCH($J231,SorP!$B$1:$B$6279,0)),"",INDIRECT("'SorP'!$A$"&amp;MATCH($S231&amp;$J231,SorP!C:C,0))))</f>
        <v>MX-TAM</v>
      </c>
      <c r="U231" s="201"/>
      <c r="V231" s="226">
        <f>IF(C231="",NA(),IF(OR(C231="Smelter not listed",C231="Smelter not yet identified"),MATCH($B231&amp;$D231,'Smelter Look-up'!$J:$J,0),MATCH($B231&amp;$C231,'Smelter Look-up'!$J:$J,0)))</f>
        <v>345</v>
      </c>
      <c r="X231" s="227">
        <f t="shared" si="34"/>
        <v>0</v>
      </c>
      <c r="AB231" s="228" t="str">
        <f t="shared" si="35"/>
        <v>TantalumKEMET Blue Metals</v>
      </c>
    </row>
    <row r="232" spans="1:28" s="227" customFormat="1" ht="51">
      <c r="A232" s="181" t="s">
        <v>15986</v>
      </c>
      <c r="B232" s="182" t="s">
        <v>1127</v>
      </c>
      <c r="C232" s="186" t="s">
        <v>15987</v>
      </c>
      <c r="D232" s="230" t="s">
        <v>15987</v>
      </c>
      <c r="E232" s="182" t="s">
        <v>1090</v>
      </c>
      <c r="F232" s="182" t="s">
        <v>15986</v>
      </c>
      <c r="G232" s="182" t="s">
        <v>15883</v>
      </c>
      <c r="H232" s="183">
        <v>0</v>
      </c>
      <c r="I232" s="184" t="s">
        <v>15988</v>
      </c>
      <c r="J232" s="184" t="s">
        <v>15989</v>
      </c>
      <c r="K232" s="224"/>
      <c r="L232" s="224"/>
      <c r="M232" s="224"/>
      <c r="N232" s="224" t="s">
        <v>15990</v>
      </c>
      <c r="O232" s="224" t="s">
        <v>15990</v>
      </c>
      <c r="P232" s="185" t="s">
        <v>488</v>
      </c>
      <c r="Q232" s="225" t="s">
        <v>15990</v>
      </c>
      <c r="R232" s="182" t="str">
        <f ca="1">IF(ISERROR($V232),"",OFFSET('Smelter Look-up'!$C$4,$V232-4,0)&amp;"")</f>
        <v/>
      </c>
      <c r="S232" s="181" t="str">
        <f t="shared" ca="1" si="33"/>
        <v>AT</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si="34"/>
        <v>0</v>
      </c>
      <c r="AB232" s="228" t="str">
        <f t="shared" si="35"/>
        <v>TantalumPlansee SE Liezen</v>
      </c>
    </row>
    <row r="233" spans="1:28" s="227" customFormat="1" ht="63.75">
      <c r="A233" s="181" t="s">
        <v>1421</v>
      </c>
      <c r="B233" s="182" t="s">
        <v>1128</v>
      </c>
      <c r="C233" s="186" t="s">
        <v>2536</v>
      </c>
      <c r="D233" s="230"/>
      <c r="E233" s="182" t="s">
        <v>1097</v>
      </c>
      <c r="F233" s="182" t="s">
        <v>1421</v>
      </c>
      <c r="G233" s="182" t="s">
        <v>13240</v>
      </c>
      <c r="H233" s="183">
        <v>0</v>
      </c>
      <c r="I233" s="184" t="s">
        <v>1749</v>
      </c>
      <c r="J233" s="184" t="s">
        <v>4246</v>
      </c>
      <c r="K233" s="224"/>
      <c r="L233" s="224"/>
      <c r="M233" s="224"/>
      <c r="N233" s="224"/>
      <c r="O233" s="224"/>
      <c r="P233" s="185"/>
      <c r="Q233" s="225" t="s">
        <v>15815</v>
      </c>
      <c r="R233" s="182" t="str">
        <f ca="1">IF(ISERROR($V233),"",OFFSET('Smelter Look-up'!$C$4,$V233-4,0)&amp;"")</f>
        <v>H.C. Starck Tungsten GmbH</v>
      </c>
      <c r="S233" s="181" t="str">
        <f t="shared" ca="1" si="33"/>
        <v>DE</v>
      </c>
      <c r="T233" s="181" t="str">
        <f ca="1">IF(B233="","",IF(ISERROR(MATCH($J233,SorP!$B$1:$B$6279,0)),"",INDIRECT("'SorP'!$A$"&amp;MATCH($S233&amp;$J233,SorP!C:C,0))))</f>
        <v>DE-NI</v>
      </c>
      <c r="U233" s="201"/>
      <c r="V233" s="226">
        <f>IF(C233="",NA(),IF(OR(C233="Smelter not listed",C233="Smelter not yet identified"),MATCH($B233&amp;$D233,'Smelter Look-up'!$J:$J,0),MATCH($B233&amp;$C233,'Smelter Look-up'!$J:$J,0)))</f>
        <v>589</v>
      </c>
      <c r="X233" s="227">
        <f t="shared" si="34"/>
        <v>0</v>
      </c>
      <c r="AB233" s="228" t="str">
        <f t="shared" si="35"/>
        <v>TungstenH.C. Starck Tungsten GmbH</v>
      </c>
    </row>
    <row r="234" spans="1:28" s="227" customFormat="1" ht="76.5">
      <c r="A234" s="181" t="s">
        <v>1422</v>
      </c>
      <c r="B234" s="182" t="s">
        <v>1128</v>
      </c>
      <c r="C234" s="186" t="s">
        <v>2334</v>
      </c>
      <c r="D234" s="230"/>
      <c r="E234" s="182" t="s">
        <v>1097</v>
      </c>
      <c r="F234" s="182" t="s">
        <v>1422</v>
      </c>
      <c r="G234" s="182" t="s">
        <v>13240</v>
      </c>
      <c r="H234" s="183">
        <v>0</v>
      </c>
      <c r="I234" s="184" t="s">
        <v>1750</v>
      </c>
      <c r="J234" s="184" t="s">
        <v>1543</v>
      </c>
      <c r="K234" s="224"/>
      <c r="L234" s="224"/>
      <c r="M234" s="224"/>
      <c r="N234" s="224"/>
      <c r="O234" s="224"/>
      <c r="P234" s="185"/>
      <c r="Q234" s="225" t="s">
        <v>15815</v>
      </c>
      <c r="R234" s="182" t="str">
        <f ca="1">IF(ISERROR($V234),"",OFFSET('Smelter Look-up'!$C$4,$V234-4,0)&amp;"")</f>
        <v>TANIOBIS Smelting GmbH &amp; Co. KG</v>
      </c>
      <c r="S234" s="181" t="str">
        <f t="shared" ca="1" si="33"/>
        <v>DE</v>
      </c>
      <c r="T234" s="181" t="str">
        <f ca="1">IF(B234="","",IF(ISERROR(MATCH($J234,SorP!$B$1:$B$6279,0)),"",INDIRECT("'SorP'!$A$"&amp;MATCH($S234&amp;$J234,SorP!C:C,0))))</f>
        <v>DE-BW</v>
      </c>
      <c r="U234" s="201"/>
      <c r="V234" s="226">
        <f>IF(C234="",NA(),IF(OR(C234="Smelter not listed",C234="Smelter not yet identified"),MATCH($B234&amp;$D234,'Smelter Look-up'!$J:$J,0),MATCH($B234&amp;$C234,'Smelter Look-up'!$J:$J,0)))</f>
        <v>588</v>
      </c>
      <c r="X234" s="227">
        <f t="shared" si="34"/>
        <v>0</v>
      </c>
      <c r="AB234" s="228" t="str">
        <f t="shared" si="35"/>
        <v>TungstenH.C. Starck Smelting GmbH &amp; Co. KG</v>
      </c>
    </row>
    <row r="235" spans="1:28" s="227" customFormat="1" ht="89.25">
      <c r="A235" s="181" t="s">
        <v>1425</v>
      </c>
      <c r="B235" s="182" t="s">
        <v>1128</v>
      </c>
      <c r="C235" s="186" t="s">
        <v>13821</v>
      </c>
      <c r="D235" s="230"/>
      <c r="E235" s="182" t="s">
        <v>888</v>
      </c>
      <c r="F235" s="182" t="s">
        <v>1425</v>
      </c>
      <c r="G235" s="182" t="s">
        <v>13240</v>
      </c>
      <c r="H235" s="183">
        <v>0</v>
      </c>
      <c r="I235" s="184" t="s">
        <v>1839</v>
      </c>
      <c r="J235" s="184" t="s">
        <v>12134</v>
      </c>
      <c r="K235" s="224"/>
      <c r="L235" s="224"/>
      <c r="M235" s="224"/>
      <c r="N235" s="224"/>
      <c r="O235" s="224"/>
      <c r="P235" s="185"/>
      <c r="Q235" s="225" t="s">
        <v>15815</v>
      </c>
      <c r="R235" s="182" t="str">
        <f ca="1">IF(ISERROR($V235),"",OFFSET('Smelter Look-up'!$C$4,$V235-4,0)&amp;"")</f>
        <v>Masan High-Tech Materials</v>
      </c>
      <c r="S235" s="181" t="str">
        <f t="shared" ca="1" si="33"/>
        <v>VN</v>
      </c>
      <c r="T235" s="181" t="str">
        <f ca="1">IF(B235="","",IF(ISERROR(MATCH($J235,SorP!$B$1:$B$6279,0)),"",INDIRECT("'SorP'!$A$"&amp;MATCH($S235&amp;$J235,SorP!C:C,0))))</f>
        <v>VN-69</v>
      </c>
      <c r="U235" s="201"/>
      <c r="V235" s="226">
        <f>IF(C235="",NA(),IF(OR(C235="Smelter not listed",C235="Smelter not yet identified"),MATCH($B235&amp;$D235,'Smelter Look-up'!$J:$J,0),MATCH($B235&amp;$C235,'Smelter Look-up'!$J:$J,0)))</f>
        <v>617</v>
      </c>
      <c r="X235" s="227">
        <f t="shared" si="34"/>
        <v>0</v>
      </c>
      <c r="AB235" s="228" t="str">
        <f t="shared" si="35"/>
        <v>TungstenMasan Tungsten Chemical LLC (MTC)</v>
      </c>
    </row>
    <row r="236" spans="1:28" s="227" customFormat="1" ht="63.75">
      <c r="A236" s="181" t="s">
        <v>1411</v>
      </c>
      <c r="B236" s="182" t="s">
        <v>1127</v>
      </c>
      <c r="C236" s="186" t="s">
        <v>1410</v>
      </c>
      <c r="D236" s="230"/>
      <c r="E236" s="182" t="s">
        <v>884</v>
      </c>
      <c r="F236" s="182" t="s">
        <v>1411</v>
      </c>
      <c r="G236" s="182" t="s">
        <v>13240</v>
      </c>
      <c r="H236" s="183">
        <v>0</v>
      </c>
      <c r="I236" s="184" t="s">
        <v>1747</v>
      </c>
      <c r="J236" s="184" t="s">
        <v>1748</v>
      </c>
      <c r="K236" s="224"/>
      <c r="L236" s="224"/>
      <c r="M236" s="224"/>
      <c r="N236" s="224"/>
      <c r="O236" s="224"/>
      <c r="P236" s="185"/>
      <c r="Q236" s="225" t="s">
        <v>15815</v>
      </c>
      <c r="R236" s="182" t="str">
        <f ca="1">IF(ISERROR($V236),"",OFFSET('Smelter Look-up'!$C$4,$V236-4,0)&amp;"")</f>
        <v>TANIOBIS Co., Ltd.</v>
      </c>
      <c r="S236" s="181" t="str">
        <f t="shared" ca="1" si="33"/>
        <v>TH</v>
      </c>
      <c r="T236" s="181" t="str">
        <f ca="1">IF(B236="","",IF(ISERROR(MATCH($J236,SorP!$B$1:$B$6279,0)),"",INDIRECT("'SorP'!$A$"&amp;MATCH($S236&amp;$J236,SorP!C:C,0))))</f>
        <v>TH-21</v>
      </c>
      <c r="U236" s="201"/>
      <c r="V236" s="226">
        <f>IF(C236="",NA(),IF(OR(C236="Smelter not listed",C236="Smelter not yet identified"),MATCH($B236&amp;$D236,'Smelter Look-up'!$J:$J,0),MATCH($B236&amp;$C236,'Smelter Look-up'!$J:$J,0)))</f>
        <v>333</v>
      </c>
      <c r="X236" s="227">
        <f t="shared" si="34"/>
        <v>0</v>
      </c>
      <c r="AB236" s="228" t="str">
        <f t="shared" si="35"/>
        <v>TantalumH.C. Starck Co., Ltd.</v>
      </c>
    </row>
    <row r="237" spans="1:28" s="227" customFormat="1" ht="89.25">
      <c r="A237" s="181" t="s">
        <v>1412</v>
      </c>
      <c r="B237" s="182" t="s">
        <v>1127</v>
      </c>
      <c r="C237" s="186" t="s">
        <v>2524</v>
      </c>
      <c r="D237" s="230"/>
      <c r="E237" s="182" t="s">
        <v>1097</v>
      </c>
      <c r="F237" s="182" t="s">
        <v>1412</v>
      </c>
      <c r="G237" s="182" t="s">
        <v>13240</v>
      </c>
      <c r="H237" s="183">
        <v>0</v>
      </c>
      <c r="I237" s="184" t="s">
        <v>1749</v>
      </c>
      <c r="J237" s="184" t="s">
        <v>4246</v>
      </c>
      <c r="K237" s="224"/>
      <c r="L237" s="224"/>
      <c r="M237" s="224"/>
      <c r="N237" s="224"/>
      <c r="O237" s="224"/>
      <c r="P237" s="185"/>
      <c r="Q237" s="225" t="s">
        <v>15815</v>
      </c>
      <c r="R237" s="182" t="str">
        <f ca="1">IF(ISERROR($V237),"",OFFSET('Smelter Look-up'!$C$4,$V237-4,0)&amp;"")</f>
        <v>TANIOBIS GmbH</v>
      </c>
      <c r="S237" s="181" t="str">
        <f t="shared" ca="1" si="33"/>
        <v>DE</v>
      </c>
      <c r="T237" s="181" t="str">
        <f ca="1">IF(B237="","",IF(ISERROR(MATCH($J237,SorP!$B$1:$B$6279,0)),"",INDIRECT("'SorP'!$A$"&amp;MATCH($S237&amp;$J237,SorP!C:C,0))))</f>
        <v>DE-NI</v>
      </c>
      <c r="U237" s="201"/>
      <c r="V237" s="226">
        <f>IF(C237="",NA(),IF(OR(C237="Smelter not listed",C237="Smelter not yet identified"),MATCH($B237&amp;$D237,'Smelter Look-up'!$J:$J,0),MATCH($B237&amp;$C237,'Smelter Look-up'!$J:$J,0)))</f>
        <v>337</v>
      </c>
      <c r="X237" s="227">
        <f t="shared" si="34"/>
        <v>0</v>
      </c>
      <c r="AB237" s="228" t="str">
        <f t="shared" si="35"/>
        <v>TantalumH.C. Starck Tantalum and Niobium GmbH</v>
      </c>
    </row>
    <row r="238" spans="1:28" s="227" customFormat="1" ht="63.75">
      <c r="A238" s="181" t="s">
        <v>15838</v>
      </c>
      <c r="B238" s="182" t="s">
        <v>1127</v>
      </c>
      <c r="C238" s="186" t="s">
        <v>15839</v>
      </c>
      <c r="D238" s="230"/>
      <c r="E238" s="182" t="s">
        <v>1097</v>
      </c>
      <c r="F238" s="182" t="s">
        <v>15838</v>
      </c>
      <c r="G238" s="182" t="s">
        <v>13240</v>
      </c>
      <c r="H238" s="183">
        <v>0</v>
      </c>
      <c r="I238" s="184" t="s">
        <v>15840</v>
      </c>
      <c r="J238" s="184" t="s">
        <v>4224</v>
      </c>
      <c r="K238" s="224"/>
      <c r="L238" s="224"/>
      <c r="M238" s="224"/>
      <c r="N238" s="224"/>
      <c r="O238" s="224"/>
      <c r="P238" s="185"/>
      <c r="Q238" s="225" t="s">
        <v>15815</v>
      </c>
      <c r="R238" s="182" t="str">
        <f ca="1">IF(ISERROR($V238),"",OFFSET('Smelter Look-up'!$C$4,$V238-4,0)&amp;"")</f>
        <v/>
      </c>
      <c r="S238" s="181" t="str">
        <f t="shared" ca="1" si="33"/>
        <v>DE</v>
      </c>
      <c r="T238" s="181" t="str">
        <f ca="1">IF(B238="","",IF(ISERROR(MATCH($J238,SorP!$B$1:$B$6279,0)),"",INDIRECT("'SorP'!$A$"&amp;MATCH($S238&amp;$J238,SorP!C:C,0))))</f>
        <v>DE-TH</v>
      </c>
      <c r="U238" s="201"/>
      <c r="V238" s="226" t="e">
        <f>IF(C238="",NA(),IF(OR(C238="Smelter not listed",C238="Smelter not yet identified"),MATCH($B238&amp;$D238,'Smelter Look-up'!$J:$J,0),MATCH($B238&amp;$C238,'Smelter Look-up'!$J:$J,0)))</f>
        <v>#N/A</v>
      </c>
      <c r="X238" s="227">
        <f t="shared" si="34"/>
        <v>0</v>
      </c>
      <c r="AB238" s="228" t="str">
        <f t="shared" si="35"/>
        <v>TantalumH.C. Starck Hermsdorf GmbH</v>
      </c>
    </row>
    <row r="239" spans="1:28" s="227" customFormat="1" ht="51">
      <c r="A239" s="181" t="s">
        <v>1414</v>
      </c>
      <c r="B239" s="182" t="s">
        <v>1127</v>
      </c>
      <c r="C239" s="186" t="s">
        <v>1413</v>
      </c>
      <c r="D239" s="230"/>
      <c r="E239" s="182" t="s">
        <v>2432</v>
      </c>
      <c r="F239" s="182" t="s">
        <v>1414</v>
      </c>
      <c r="G239" s="182" t="s">
        <v>13240</v>
      </c>
      <c r="H239" s="183">
        <v>0</v>
      </c>
      <c r="I239" s="184" t="s">
        <v>1751</v>
      </c>
      <c r="J239" s="184" t="s">
        <v>1625</v>
      </c>
      <c r="K239" s="224"/>
      <c r="L239" s="224"/>
      <c r="M239" s="224"/>
      <c r="N239" s="224"/>
      <c r="O239" s="224"/>
      <c r="P239" s="185"/>
      <c r="Q239" s="225" t="s">
        <v>15815</v>
      </c>
      <c r="R239" s="182" t="str">
        <f ca="1">IF(ISERROR($V239),"",OFFSET('Smelter Look-up'!$C$4,$V239-4,0)&amp;"")</f>
        <v>Materion Newton Inc.</v>
      </c>
      <c r="S239" s="181" t="str">
        <f t="shared" ca="1" si="33"/>
        <v>US</v>
      </c>
      <c r="T239" s="181" t="str">
        <f ca="1">IF(B239="","",IF(ISERROR(MATCH($J239,SorP!$B$1:$B$6279,0)),"",INDIRECT("'SorP'!$A$"&amp;MATCH($S239&amp;$J239,SorP!C:C,0))))</f>
        <v>US-MA</v>
      </c>
      <c r="U239" s="201"/>
      <c r="V239" s="226">
        <f>IF(C239="",NA(),IF(OR(C239="Smelter not listed",C239="Smelter not yet identified"),MATCH($B239&amp;$D239,'Smelter Look-up'!$J:$J,0),MATCH($B239&amp;$C239,'Smelter Look-up'!$J:$J,0)))</f>
        <v>334</v>
      </c>
      <c r="X239" s="227">
        <f t="shared" si="34"/>
        <v>0</v>
      </c>
      <c r="AB239" s="228" t="str">
        <f t="shared" si="35"/>
        <v>TantalumH.C. Starck Inc.</v>
      </c>
    </row>
    <row r="240" spans="1:28" s="227" customFormat="1" ht="51">
      <c r="A240" s="181" t="s">
        <v>1416</v>
      </c>
      <c r="B240" s="182" t="s">
        <v>1127</v>
      </c>
      <c r="C240" s="186" t="s">
        <v>1415</v>
      </c>
      <c r="D240" s="230"/>
      <c r="E240" s="182" t="s">
        <v>1104</v>
      </c>
      <c r="F240" s="182" t="s">
        <v>1416</v>
      </c>
      <c r="G240" s="182" t="s">
        <v>13240</v>
      </c>
      <c r="H240" s="183">
        <v>0</v>
      </c>
      <c r="I240" s="184" t="s">
        <v>1752</v>
      </c>
      <c r="J240" s="184" t="s">
        <v>1753</v>
      </c>
      <c r="K240" s="224"/>
      <c r="L240" s="224"/>
      <c r="M240" s="224"/>
      <c r="N240" s="224"/>
      <c r="O240" s="224"/>
      <c r="P240" s="185"/>
      <c r="Q240" s="225" t="s">
        <v>15815</v>
      </c>
      <c r="R240" s="182" t="str">
        <f ca="1">IF(ISERROR($V240),"",OFFSET('Smelter Look-up'!$C$4,$V240-4,0)&amp;"")</f>
        <v>TANIOBIS Japan Co., Ltd.</v>
      </c>
      <c r="S240" s="181" t="str">
        <f t="shared" ca="1" si="33"/>
        <v>JP</v>
      </c>
      <c r="T240" s="181" t="str">
        <f ca="1">IF(B240="","",IF(ISERROR(MATCH($J240,SorP!$B$1:$B$6279,0)),"",INDIRECT("'SorP'!$A$"&amp;MATCH($S240&amp;$J240,SorP!C:C,0))))</f>
        <v>JP-08</v>
      </c>
      <c r="U240" s="201"/>
      <c r="V240" s="226">
        <f>IF(C240="",NA(),IF(OR(C240="Smelter not listed",C240="Smelter not yet identified"),MATCH($B240&amp;$D240,'Smelter Look-up'!$J:$J,0),MATCH($B240&amp;$C240,'Smelter Look-up'!$J:$J,0)))</f>
        <v>335</v>
      </c>
      <c r="X240" s="227">
        <f t="shared" si="34"/>
        <v>0</v>
      </c>
      <c r="AB240" s="228" t="str">
        <f t="shared" si="35"/>
        <v>TantalumH.C. Starck Ltd.</v>
      </c>
    </row>
    <row r="241" spans="1:28" s="227" customFormat="1" ht="76.5">
      <c r="A241" s="181" t="s">
        <v>1417</v>
      </c>
      <c r="B241" s="182" t="s">
        <v>1127</v>
      </c>
      <c r="C241" s="186" t="s">
        <v>2334</v>
      </c>
      <c r="D241" s="230"/>
      <c r="E241" s="182" t="s">
        <v>1097</v>
      </c>
      <c r="F241" s="182" t="s">
        <v>1417</v>
      </c>
      <c r="G241" s="182" t="s">
        <v>13240</v>
      </c>
      <c r="H241" s="183">
        <v>0</v>
      </c>
      <c r="I241" s="184" t="s">
        <v>1750</v>
      </c>
      <c r="J241" s="184" t="s">
        <v>1543</v>
      </c>
      <c r="K241" s="224"/>
      <c r="L241" s="224"/>
      <c r="M241" s="224"/>
      <c r="N241" s="224"/>
      <c r="O241" s="224"/>
      <c r="P241" s="185"/>
      <c r="Q241" s="225" t="s">
        <v>15815</v>
      </c>
      <c r="R241" s="182" t="str">
        <f ca="1">IF(ISERROR($V241),"",OFFSET('Smelter Look-up'!$C$4,$V241-4,0)&amp;"")</f>
        <v>TANIOBIS Smelting GmbH &amp; Co. KG</v>
      </c>
      <c r="S241" s="181" t="str">
        <f t="shared" ca="1" si="33"/>
        <v>DE</v>
      </c>
      <c r="T241" s="181" t="str">
        <f ca="1">IF(B241="","",IF(ISERROR(MATCH($J241,SorP!$B$1:$B$6279,0)),"",INDIRECT("'SorP'!$A$"&amp;MATCH($S241&amp;$J241,SorP!C:C,0))))</f>
        <v>DE-BW</v>
      </c>
      <c r="U241" s="201"/>
      <c r="V241" s="226">
        <f>IF(C241="",NA(),IF(OR(C241="Smelter not listed",C241="Smelter not yet identified"),MATCH($B241&amp;$D241,'Smelter Look-up'!$J:$J,0),MATCH($B241&amp;$C241,'Smelter Look-up'!$J:$J,0)))</f>
        <v>336</v>
      </c>
      <c r="X241" s="227">
        <f t="shared" si="34"/>
        <v>0</v>
      </c>
      <c r="AB241" s="228" t="str">
        <f t="shared" si="35"/>
        <v>TantalumH.C. Starck Smelting GmbH &amp; Co. KG</v>
      </c>
    </row>
    <row r="242" spans="1:28" s="227" customFormat="1" ht="114.75">
      <c r="A242" s="181" t="s">
        <v>1424</v>
      </c>
      <c r="B242" s="182" t="s">
        <v>1128</v>
      </c>
      <c r="C242" s="186" t="s">
        <v>1423</v>
      </c>
      <c r="D242" s="230"/>
      <c r="E242" s="182" t="s">
        <v>1096</v>
      </c>
      <c r="F242" s="182" t="s">
        <v>1424</v>
      </c>
      <c r="G242" s="182" t="s">
        <v>13240</v>
      </c>
      <c r="H242" s="183">
        <v>0</v>
      </c>
      <c r="I242" s="184" t="s">
        <v>1773</v>
      </c>
      <c r="J242" s="184" t="s">
        <v>13619</v>
      </c>
      <c r="K242" s="224"/>
      <c r="L242" s="224"/>
      <c r="M242" s="224"/>
      <c r="N242" s="224"/>
      <c r="O242" s="224"/>
      <c r="P242" s="185"/>
      <c r="Q242" s="225" t="s">
        <v>15815</v>
      </c>
      <c r="R242" s="182" t="str">
        <f ca="1">IF(ISERROR($V242),"",OFFSET('Smelter Look-up'!$C$4,$V242-4,0)&amp;"")</f>
        <v>Jiangwu H.C. Starck Tungsten Products Co., Ltd.</v>
      </c>
      <c r="S242" s="181" t="str">
        <f t="shared" ca="1" si="33"/>
        <v>CN</v>
      </c>
      <c r="T242" s="181" t="str">
        <f ca="1">IF(B242="","",IF(ISERROR(MATCH($J242,SorP!$B$1:$B$6279,0)),"",INDIRECT("'SorP'!$A$"&amp;MATCH($S242&amp;$J242,SorP!C:C,0))))</f>
        <v>CN-JX</v>
      </c>
      <c r="U242" s="201"/>
      <c r="V242" s="226">
        <f>IF(C242="",NA(),IF(OR(C242="Smelter not listed",C242="Smelter not yet identified"),MATCH($B242&amp;$D242,'Smelter Look-up'!$J:$J,0),MATCH($B242&amp;$C242,'Smelter Look-up'!$J:$J,0)))</f>
        <v>601</v>
      </c>
      <c r="X242" s="227">
        <f t="shared" si="34"/>
        <v>0</v>
      </c>
      <c r="AB242" s="228" t="str">
        <f t="shared" si="35"/>
        <v>TungstenJiangwu H.C. Starck Tungsten Products Co., Ltd.</v>
      </c>
    </row>
    <row r="243" spans="1:28" s="227" customFormat="1" ht="51">
      <c r="A243" s="181" t="s">
        <v>15991</v>
      </c>
      <c r="B243" s="182" t="s">
        <v>1127</v>
      </c>
      <c r="C243" s="186" t="s">
        <v>15992</v>
      </c>
      <c r="D243" s="230" t="s">
        <v>15992</v>
      </c>
      <c r="E243" s="182" t="s">
        <v>1090</v>
      </c>
      <c r="F243" s="182" t="s">
        <v>15991</v>
      </c>
      <c r="G243" s="182" t="s">
        <v>15883</v>
      </c>
      <c r="H243" s="183">
        <v>0</v>
      </c>
      <c r="I243" s="184" t="s">
        <v>15993</v>
      </c>
      <c r="J243" s="184" t="s">
        <v>15994</v>
      </c>
      <c r="K243" s="224"/>
      <c r="L243" s="224"/>
      <c r="M243" s="224"/>
      <c r="N243" s="224" t="s">
        <v>15990</v>
      </c>
      <c r="O243" s="224" t="s">
        <v>15990</v>
      </c>
      <c r="P243" s="185" t="s">
        <v>488</v>
      </c>
      <c r="Q243" s="225" t="s">
        <v>15990</v>
      </c>
      <c r="R243" s="182" t="str">
        <f ca="1">IF(ISERROR($V243),"",OFFSET('Smelter Look-up'!$C$4,$V243-4,0)&amp;"")</f>
        <v/>
      </c>
      <c r="S243" s="181" t="str">
        <f t="shared" ca="1" si="33"/>
        <v>AT</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si="34"/>
        <v>0</v>
      </c>
      <c r="AB243" s="228" t="str">
        <f t="shared" si="35"/>
        <v>TantalumPlansee SE Reutte</v>
      </c>
    </row>
    <row r="244" spans="1:28" s="227" customFormat="1" ht="89.25">
      <c r="A244" s="181" t="s">
        <v>1409</v>
      </c>
      <c r="B244" s="182" t="s">
        <v>1127</v>
      </c>
      <c r="C244" s="186" t="s">
        <v>1408</v>
      </c>
      <c r="D244" s="230"/>
      <c r="E244" s="182" t="s">
        <v>2432</v>
      </c>
      <c r="F244" s="182" t="s">
        <v>1409</v>
      </c>
      <c r="G244" s="182" t="s">
        <v>13240</v>
      </c>
      <c r="H244" s="183">
        <v>0</v>
      </c>
      <c r="I244" s="184" t="s">
        <v>1754</v>
      </c>
      <c r="J244" s="184" t="s">
        <v>1737</v>
      </c>
      <c r="K244" s="224"/>
      <c r="L244" s="224"/>
      <c r="M244" s="224"/>
      <c r="N244" s="224"/>
      <c r="O244" s="224"/>
      <c r="P244" s="185"/>
      <c r="Q244" s="225" t="s">
        <v>15815</v>
      </c>
      <c r="R244" s="182" t="str">
        <f ca="1">IF(ISERROR($V244),"",OFFSET('Smelter Look-up'!$C$4,$V244-4,0)&amp;"")</f>
        <v>Global Advanced Metals Boyertown</v>
      </c>
      <c r="S244" s="181" t="str">
        <f t="shared" ca="1" si="33"/>
        <v>US</v>
      </c>
      <c r="T244" s="181" t="str">
        <f ca="1">IF(B244="","",IF(ISERROR(MATCH($J244,SorP!$B$1:$B$6279,0)),"",INDIRECT("'SorP'!$A$"&amp;MATCH($S244&amp;$J244,SorP!C:C,0))))</f>
        <v>US-PA</v>
      </c>
      <c r="U244" s="201"/>
      <c r="V244" s="226">
        <f>IF(C244="",NA(),IF(OR(C244="Smelter not listed",C244="Smelter not yet identified"),MATCH($B244&amp;$D244,'Smelter Look-up'!$J:$J,0),MATCH($B244&amp;$C244,'Smelter Look-up'!$J:$J,0)))</f>
        <v>331</v>
      </c>
      <c r="X244" s="227">
        <f t="shared" si="34"/>
        <v>0</v>
      </c>
      <c r="AB244" s="228" t="str">
        <f t="shared" si="35"/>
        <v>TantalumGlobal Advanced Metals Boyertown</v>
      </c>
    </row>
    <row r="245" spans="1:28" s="227" customFormat="1" ht="76.5">
      <c r="A245" s="181" t="s">
        <v>1407</v>
      </c>
      <c r="B245" s="182" t="s">
        <v>1127</v>
      </c>
      <c r="C245" s="186" t="s">
        <v>1406</v>
      </c>
      <c r="D245" s="230"/>
      <c r="E245" s="182" t="s">
        <v>1104</v>
      </c>
      <c r="F245" s="182" t="s">
        <v>1407</v>
      </c>
      <c r="G245" s="182" t="s">
        <v>13240</v>
      </c>
      <c r="H245" s="183">
        <v>0</v>
      </c>
      <c r="I245" s="184" t="s">
        <v>1755</v>
      </c>
      <c r="J245" s="184" t="s">
        <v>1554</v>
      </c>
      <c r="K245" s="224"/>
      <c r="L245" s="224"/>
      <c r="M245" s="224"/>
      <c r="N245" s="224"/>
      <c r="O245" s="224"/>
      <c r="P245" s="185"/>
      <c r="Q245" s="225" t="s">
        <v>15815</v>
      </c>
      <c r="R245" s="182" t="str">
        <f ca="1">IF(ISERROR($V245),"",OFFSET('Smelter Look-up'!$C$4,$V245-4,0)&amp;"")</f>
        <v>Global Advanced Metals Aizu</v>
      </c>
      <c r="S245" s="181" t="str">
        <f t="shared" ca="1" si="33"/>
        <v>JP</v>
      </c>
      <c r="T245" s="181" t="str">
        <f ca="1">IF(B245="","",IF(ISERROR(MATCH($J245,SorP!$B$1:$B$6279,0)),"",INDIRECT("'SorP'!$A$"&amp;MATCH($S245&amp;$J245,SorP!C:C,0))))</f>
        <v>JP-07</v>
      </c>
      <c r="U245" s="201"/>
      <c r="V245" s="226">
        <f>IF(C245="",NA(),IF(OR(C245="Smelter not listed",C245="Smelter not yet identified"),MATCH($B245&amp;$D245,'Smelter Look-up'!$J:$J,0),MATCH($B245&amp;$C245,'Smelter Look-up'!$J:$J,0)))</f>
        <v>330</v>
      </c>
      <c r="X245" s="227">
        <f t="shared" si="34"/>
        <v>0</v>
      </c>
      <c r="AB245" s="228" t="str">
        <f t="shared" si="35"/>
        <v>TantalumGlobal Advanced Metals Aizu</v>
      </c>
    </row>
    <row r="246" spans="1:28" s="227" customFormat="1" ht="63.75">
      <c r="A246" s="181" t="s">
        <v>1703</v>
      </c>
      <c r="B246" s="182" t="s">
        <v>1125</v>
      </c>
      <c r="C246" s="186" t="s">
        <v>1702</v>
      </c>
      <c r="D246" s="230"/>
      <c r="E246" s="182" t="s">
        <v>1088</v>
      </c>
      <c r="F246" s="182" t="s">
        <v>1703</v>
      </c>
      <c r="G246" s="182" t="s">
        <v>13240</v>
      </c>
      <c r="H246" s="183">
        <v>0</v>
      </c>
      <c r="I246" s="184" t="s">
        <v>1704</v>
      </c>
      <c r="J246" s="184" t="s">
        <v>2573</v>
      </c>
      <c r="K246" s="224"/>
      <c r="L246" s="224"/>
      <c r="M246" s="224"/>
      <c r="N246" s="224"/>
      <c r="O246" s="224"/>
      <c r="P246" s="185"/>
      <c r="Q246" s="225" t="s">
        <v>15815</v>
      </c>
      <c r="R246" s="182" t="str">
        <f ca="1">IF(ISERROR($V246),"",OFFSET('Smelter Look-up'!$C$4,$V246-4,0)&amp;"")</f>
        <v>Al Etihad Gold Refinery DMCC</v>
      </c>
      <c r="S246" s="181" t="str">
        <f t="shared" ca="1" si="33"/>
        <v>AE</v>
      </c>
      <c r="T246" s="181" t="str">
        <f ca="1">IF(B246="","",IF(ISERROR(MATCH($J246,SorP!$B$1:$B$6279,0)),"",INDIRECT("'SorP'!$A$"&amp;MATCH($S246&amp;$J246,SorP!C:C,0))))</f>
        <v>AE-DU</v>
      </c>
      <c r="U246" s="201"/>
      <c r="V246" s="226">
        <f>IF(C246="",NA(),IF(OR(C246="Smelter not listed",C246="Smelter not yet identified"),MATCH($B246&amp;$D246,'Smelter Look-up'!$J:$J,0),MATCH($B246&amp;$C246,'Smelter Look-up'!$J:$J,0)))</f>
        <v>16</v>
      </c>
      <c r="X246" s="227">
        <f t="shared" si="34"/>
        <v>0</v>
      </c>
      <c r="AB246" s="228" t="str">
        <f t="shared" si="35"/>
        <v>GoldAl Etihad Gold Refinery DMCC</v>
      </c>
    </row>
    <row r="247" spans="1:28" s="227" customFormat="1" ht="51">
      <c r="A247" s="181" t="s">
        <v>1706</v>
      </c>
      <c r="B247" s="182" t="s">
        <v>1125</v>
      </c>
      <c r="C247" s="186" t="s">
        <v>1705</v>
      </c>
      <c r="D247" s="230"/>
      <c r="E247" s="182" t="s">
        <v>1088</v>
      </c>
      <c r="F247" s="182" t="s">
        <v>1706</v>
      </c>
      <c r="G247" s="182" t="s">
        <v>13240</v>
      </c>
      <c r="H247" s="183">
        <v>0</v>
      </c>
      <c r="I247" s="184" t="s">
        <v>1704</v>
      </c>
      <c r="J247" s="184" t="s">
        <v>2573</v>
      </c>
      <c r="K247" s="224"/>
      <c r="L247" s="224"/>
      <c r="M247" s="224"/>
      <c r="N247" s="224"/>
      <c r="O247" s="224"/>
      <c r="P247" s="185"/>
      <c r="Q247" s="225" t="s">
        <v>15815</v>
      </c>
      <c r="R247" s="182" t="str">
        <f ca="1">IF(ISERROR($V247),"",OFFSET('Smelter Look-up'!$C$4,$V247-4,0)&amp;"")</f>
        <v>Emirates Gold DMCC</v>
      </c>
      <c r="S247" s="181" t="str">
        <f t="shared" ca="1" si="33"/>
        <v>AE</v>
      </c>
      <c r="T247" s="181" t="str">
        <f ca="1">IF(B247="","",IF(ISERROR(MATCH($J247,SorP!$B$1:$B$6279,0)),"",INDIRECT("'SorP'!$A$"&amp;MATCH($S247&amp;$J247,SorP!C:C,0))))</f>
        <v>AE-DU</v>
      </c>
      <c r="U247" s="201"/>
      <c r="V247" s="226">
        <f>IF(C247="",NA(),IF(OR(C247="Smelter not listed",C247="Smelter not yet identified"),MATCH($B247&amp;$D247,'Smelter Look-up'!$J:$J,0),MATCH($B247&amp;$C247,'Smelter Look-up'!$J:$J,0)))</f>
        <v>80</v>
      </c>
      <c r="X247" s="227">
        <f t="shared" si="34"/>
        <v>0</v>
      </c>
      <c r="AB247" s="228" t="str">
        <f t="shared" si="35"/>
        <v>GoldEmirates Gold DMCC</v>
      </c>
    </row>
    <row r="248" spans="1:28" s="227" customFormat="1" ht="76.5">
      <c r="A248" s="181" t="s">
        <v>13791</v>
      </c>
      <c r="B248" s="182" t="s">
        <v>1125</v>
      </c>
      <c r="C248" s="186" t="s">
        <v>13790</v>
      </c>
      <c r="D248" s="230"/>
      <c r="E248" s="182" t="s">
        <v>1088</v>
      </c>
      <c r="F248" s="182" t="s">
        <v>13791</v>
      </c>
      <c r="G248" s="182" t="s">
        <v>13240</v>
      </c>
      <c r="H248" s="183"/>
      <c r="I248" s="184" t="s">
        <v>1704</v>
      </c>
      <c r="J248" s="184" t="s">
        <v>2573</v>
      </c>
      <c r="K248" s="224"/>
      <c r="L248" s="224"/>
      <c r="M248" s="224"/>
      <c r="N248" s="224"/>
      <c r="O248" s="224"/>
      <c r="P248" s="185"/>
      <c r="Q248" s="225"/>
      <c r="R248" s="182" t="str">
        <f ca="1">IF(ISERROR($V248),"",OFFSET('Smelter Look-up'!$C$4,$V248-4,0)&amp;"")</f>
        <v>International Precious Metal Refiners</v>
      </c>
      <c r="S248" s="181" t="str">
        <f t="shared" ca="1" si="33"/>
        <v>AE</v>
      </c>
      <c r="T248" s="181" t="str">
        <f ca="1">IF(B248="","",IF(ISERROR(MATCH($J248,SorP!$B$1:$B$6279,0)),"",INDIRECT("'SorP'!$A$"&amp;MATCH($S248&amp;$J248,SorP!C:C,0))))</f>
        <v>AE-DU</v>
      </c>
      <c r="U248" s="201"/>
      <c r="V248" s="226">
        <f>IF(C248="",NA(),IF(OR(C248="Smelter not listed",C248="Smelter not yet identified"),MATCH($B248&amp;$D248,'Smelter Look-up'!$J:$J,0),MATCH($B248&amp;$C248,'Smelter Look-up'!$J:$J,0)))</f>
        <v>117</v>
      </c>
      <c r="X248" s="227">
        <f t="shared" si="34"/>
        <v>0</v>
      </c>
      <c r="AB248" s="228" t="str">
        <f t="shared" si="35"/>
        <v>GoldInternational Precious Metal Refiners</v>
      </c>
    </row>
    <row r="249" spans="1:28" s="227" customFormat="1" ht="25.5">
      <c r="A249" s="181" t="s">
        <v>15536</v>
      </c>
      <c r="B249" s="182" t="s">
        <v>1126</v>
      </c>
      <c r="C249" s="186" t="s">
        <v>15535</v>
      </c>
      <c r="D249" s="230"/>
      <c r="E249" s="182" t="s">
        <v>1101</v>
      </c>
      <c r="F249" s="182" t="s">
        <v>15536</v>
      </c>
      <c r="G249" s="182" t="s">
        <v>13240</v>
      </c>
      <c r="H249" s="183" t="s">
        <v>15802</v>
      </c>
      <c r="I249" s="184" t="s">
        <v>15802</v>
      </c>
      <c r="J249" s="184" t="s">
        <v>15802</v>
      </c>
      <c r="K249" s="224"/>
      <c r="L249" s="224"/>
      <c r="M249" s="224"/>
      <c r="N249" s="224"/>
      <c r="O249" s="224"/>
      <c r="P249" s="185"/>
      <c r="Q249" s="225"/>
      <c r="R249" s="182" t="str">
        <f ca="1">IF(ISERROR($V249),"",OFFSET('Smelter Look-up'!$C$4,$V249-4,0)&amp;"")</f>
        <v>CV Ayi Jaya</v>
      </c>
      <c r="S249" s="181" t="str">
        <f t="shared" ca="1" si="33"/>
        <v>ID</v>
      </c>
      <c r="T249" s="181" t="str">
        <f ca="1">IF(B249="","",IF(ISERROR(MATCH($J249,SorP!$B$1:$B$6279,0)),"",INDIRECT("'SorP'!$A$"&amp;MATCH($S249&amp;$J249,SorP!C:C,0))))</f>
        <v/>
      </c>
      <c r="U249" s="201"/>
      <c r="V249" s="226">
        <f>IF(C249="",NA(),IF(OR(C249="Smelter not listed",C249="Smelter not yet identified"),MATCH($B249&amp;$D249,'Smelter Look-up'!$J:$J,0),MATCH($B249&amp;$C249,'Smelter Look-up'!$J:$J,0)))</f>
        <v>412</v>
      </c>
      <c r="X249" s="227">
        <f t="shared" si="34"/>
        <v>0</v>
      </c>
      <c r="AB249" s="228" t="str">
        <f t="shared" si="35"/>
        <v>TinCV Ayi Jaya</v>
      </c>
    </row>
    <row r="250" spans="1:28" s="227" customFormat="1" ht="191.25">
      <c r="A250" s="181" t="s">
        <v>1806</v>
      </c>
      <c r="B250" s="182" t="s">
        <v>1126</v>
      </c>
      <c r="C250" s="186" t="s">
        <v>1805</v>
      </c>
      <c r="D250" s="230"/>
      <c r="E250" s="182" t="s">
        <v>888</v>
      </c>
      <c r="F250" s="182" t="s">
        <v>1806</v>
      </c>
      <c r="G250" s="182" t="s">
        <v>13240</v>
      </c>
      <c r="H250" s="183"/>
      <c r="I250" s="184" t="s">
        <v>1807</v>
      </c>
      <c r="J250" s="184" t="s">
        <v>12178</v>
      </c>
      <c r="K250" s="224"/>
      <c r="L250" s="224"/>
      <c r="M250" s="224"/>
      <c r="N250" s="224"/>
      <c r="O250" s="224"/>
      <c r="P250" s="185"/>
      <c r="Q250" s="225"/>
      <c r="R250" s="182" t="str">
        <f ca="1">IF(ISERROR($V250),"",OFFSET('Smelter Look-up'!$C$4,$V250-4,0)&amp;"")</f>
        <v>Electro-Mechanical Facility of the Cao Bang Minerals &amp; Metallurgy Joint Stock Company</v>
      </c>
      <c r="S250" s="181" t="str">
        <f t="shared" ca="1" si="33"/>
        <v>VN</v>
      </c>
      <c r="T250" s="181" t="str">
        <f ca="1">IF(B250="","",IF(ISERROR(MATCH($J250,SorP!$B$1:$B$6279,0)),"",INDIRECT("'SorP'!$A$"&amp;MATCH($S250&amp;$J250,SorP!C:C,0))))</f>
        <v>VN-04</v>
      </c>
      <c r="U250" s="201"/>
      <c r="V250" s="226">
        <f>IF(C250="",NA(),IF(OR(C250="Smelter not listed",C250="Smelter not yet identified"),MATCH($B250&amp;$D250,'Smelter Look-up'!$J:$J,0),MATCH($B250&amp;$C250,'Smelter Look-up'!$J:$J,0)))</f>
        <v>420</v>
      </c>
      <c r="X250" s="227">
        <f t="shared" si="34"/>
        <v>0</v>
      </c>
      <c r="AB250" s="228" t="str">
        <f t="shared" si="35"/>
        <v>TinElectro-Mechanical Facility of the Cao Bang Minerals &amp; Metallurgy Joint Stock Company</v>
      </c>
    </row>
    <row r="251" spans="1:28" s="227" customFormat="1" ht="114.75">
      <c r="A251" s="181" t="s">
        <v>1809</v>
      </c>
      <c r="B251" s="182" t="s">
        <v>1126</v>
      </c>
      <c r="C251" s="186" t="s">
        <v>1808</v>
      </c>
      <c r="D251" s="230"/>
      <c r="E251" s="182" t="s">
        <v>888</v>
      </c>
      <c r="F251" s="182" t="s">
        <v>1809</v>
      </c>
      <c r="G251" s="182" t="s">
        <v>13240</v>
      </c>
      <c r="H251" s="183">
        <v>0</v>
      </c>
      <c r="I251" s="184" t="s">
        <v>1810</v>
      </c>
      <c r="J251" s="184" t="s">
        <v>12128</v>
      </c>
      <c r="K251" s="224"/>
      <c r="L251" s="224"/>
      <c r="M251" s="224"/>
      <c r="N251" s="224"/>
      <c r="O251" s="224"/>
      <c r="P251" s="185"/>
      <c r="Q251" s="225"/>
      <c r="R251" s="182" t="str">
        <f ca="1">IF(ISERROR($V251),"",OFFSET('Smelter Look-up'!$C$4,$V251-4,0)&amp;"")</f>
        <v>Nghe Tinh Non-Ferrous Metals Joint Stock Company</v>
      </c>
      <c r="S251" s="181" t="str">
        <f t="shared" ca="1" si="33"/>
        <v>VN</v>
      </c>
      <c r="T251" s="181" t="str">
        <f ca="1">IF(B251="","",IF(ISERROR(MATCH($J251,SorP!$B$1:$B$6279,0)),"",INDIRECT("'SorP'!$A$"&amp;MATCH($S251&amp;$J251,SorP!C:C,0))))</f>
        <v>VN-22</v>
      </c>
      <c r="U251" s="201"/>
      <c r="V251" s="226">
        <f>IF(C251="",NA(),IF(OR(C251="Smelter not listed",C251="Smelter not yet identified"),MATCH($B251&amp;$D251,'Smelter Look-up'!$J:$J,0),MATCH($B251&amp;$C251,'Smelter Look-up'!$J:$J,0)))</f>
        <v>476</v>
      </c>
      <c r="X251" s="227">
        <f t="shared" si="34"/>
        <v>0</v>
      </c>
      <c r="AB251" s="228" t="str">
        <f t="shared" si="35"/>
        <v>TinNghe Tinh Non-Ferrous Metals Joint Stock Company</v>
      </c>
    </row>
    <row r="252" spans="1:28" s="227" customFormat="1" ht="114.75">
      <c r="A252" s="181" t="s">
        <v>1812</v>
      </c>
      <c r="B252" s="182" t="s">
        <v>1126</v>
      </c>
      <c r="C252" s="186" t="s">
        <v>1811</v>
      </c>
      <c r="D252" s="230"/>
      <c r="E252" s="182" t="s">
        <v>888</v>
      </c>
      <c r="F252" s="182" t="s">
        <v>1812</v>
      </c>
      <c r="G252" s="182" t="s">
        <v>13240</v>
      </c>
      <c r="H252" s="183">
        <v>0</v>
      </c>
      <c r="I252" s="184" t="s">
        <v>1813</v>
      </c>
      <c r="J252" s="184" t="s">
        <v>12156</v>
      </c>
      <c r="K252" s="224"/>
      <c r="L252" s="224"/>
      <c r="M252" s="224"/>
      <c r="N252" s="224"/>
      <c r="O252" s="224"/>
      <c r="P252" s="185"/>
      <c r="Q252" s="225"/>
      <c r="R252" s="182" t="str">
        <f ca="1">IF(ISERROR($V252),"",OFFSET('Smelter Look-up'!$C$4,$V252-4,0)&amp;"")</f>
        <v>Tuyen Quang Non-Ferrous Metals Joint Stock Company</v>
      </c>
      <c r="S252" s="181" t="str">
        <f t="shared" ca="1" si="33"/>
        <v>VN</v>
      </c>
      <c r="T252" s="181" t="str">
        <f ca="1">IF(B252="","",IF(ISERROR(MATCH($J252,SorP!$B$1:$B$6279,0)),"",INDIRECT("'SorP'!$A$"&amp;MATCH($S252&amp;$J252,SorP!C:C,0))))</f>
        <v>VN-07</v>
      </c>
      <c r="U252" s="201"/>
      <c r="V252" s="226">
        <f>IF(C252="",NA(),IF(OR(C252="Smelter not listed",C252="Smelter not yet identified"),MATCH($B252&amp;$D252,'Smelter Look-up'!$J:$J,0),MATCH($B252&amp;$C252,'Smelter Look-up'!$J:$J,0)))</f>
        <v>532</v>
      </c>
      <c r="X252" s="227">
        <f t="shared" si="34"/>
        <v>0</v>
      </c>
      <c r="AB252" s="228" t="str">
        <f t="shared" si="35"/>
        <v>TinTuyen Quang Non-Ferrous Metals Joint Stock Company</v>
      </c>
    </row>
    <row r="253" spans="1:28" s="227" customFormat="1" ht="127.5">
      <c r="A253" s="181" t="s">
        <v>15871</v>
      </c>
      <c r="B253" s="182" t="s">
        <v>1128</v>
      </c>
      <c r="C253" s="186" t="s">
        <v>15872</v>
      </c>
      <c r="D253" s="230"/>
      <c r="E253" s="182" t="s">
        <v>1096</v>
      </c>
      <c r="F253" s="182" t="s">
        <v>15871</v>
      </c>
      <c r="G253" s="182" t="s">
        <v>13240</v>
      </c>
      <c r="H253" s="183">
        <v>0</v>
      </c>
      <c r="I253" s="184" t="s">
        <v>1740</v>
      </c>
      <c r="J253" s="184" t="s">
        <v>13623</v>
      </c>
      <c r="K253" s="224"/>
      <c r="L253" s="224"/>
      <c r="M253" s="224"/>
      <c r="N253" s="224"/>
      <c r="O253" s="224"/>
      <c r="P253" s="185"/>
      <c r="Q253" s="225" t="s">
        <v>15815</v>
      </c>
      <c r="R253" s="182" t="str">
        <f ca="1">IF(ISERROR($V253),"",OFFSET('Smelter Look-up'!$C$4,$V253-4,0)&amp;"")</f>
        <v/>
      </c>
      <c r="S253" s="181" t="str">
        <f t="shared" ca="1" si="33"/>
        <v>CN</v>
      </c>
      <c r="T253" s="181" t="str">
        <f ca="1">IF(B253="","",IF(ISERROR(MATCH($J253,SorP!$B$1:$B$6279,0)),"",INDIRECT("'SorP'!$A$"&amp;MATCH($S253&amp;$J253,SorP!C:C,0))))</f>
        <v>CN-HN</v>
      </c>
      <c r="U253" s="201"/>
      <c r="V253" s="226" t="e">
        <f>IF(C253="",NA(),IF(OR(C253="Smelter not listed",C253="Smelter not yet identified"),MATCH($B253&amp;$D253,'Smelter Look-up'!$J:$J,0),MATCH($B253&amp;$C253,'Smelter Look-up'!$J:$J,0)))</f>
        <v>#N/A</v>
      </c>
      <c r="X253" s="227">
        <f t="shared" si="34"/>
        <v>0</v>
      </c>
      <c r="AB253" s="228" t="str">
        <f t="shared" si="35"/>
        <v>TungstenHunan Chuangda Vanadium Tungsten Co., Ltd. Wuji</v>
      </c>
    </row>
    <row r="254" spans="1:28" s="227" customFormat="1" ht="25.5">
      <c r="A254" s="181" t="s">
        <v>1712</v>
      </c>
      <c r="B254" s="182" t="s">
        <v>1125</v>
      </c>
      <c r="C254" s="186" t="s">
        <v>2215</v>
      </c>
      <c r="D254" s="230"/>
      <c r="E254" s="182" t="s">
        <v>1103</v>
      </c>
      <c r="F254" s="182" t="s">
        <v>1712</v>
      </c>
      <c r="G254" s="182" t="s">
        <v>13240</v>
      </c>
      <c r="H254" s="183">
        <v>0</v>
      </c>
      <c r="I254" s="184" t="s">
        <v>1713</v>
      </c>
      <c r="J254" s="184" t="s">
        <v>6470</v>
      </c>
      <c r="K254" s="224"/>
      <c r="L254" s="224"/>
      <c r="M254" s="224"/>
      <c r="N254" s="224"/>
      <c r="O254" s="224"/>
      <c r="P254" s="185"/>
      <c r="Q254" s="225" t="s">
        <v>15815</v>
      </c>
      <c r="R254" s="182" t="str">
        <f ca="1">IF(ISERROR($V254),"",OFFSET('Smelter Look-up'!$C$4,$V254-4,0)&amp;"")</f>
        <v>T.C.A S.p.A</v>
      </c>
      <c r="S254" s="181" t="str">
        <f t="shared" ca="1" si="33"/>
        <v>IT</v>
      </c>
      <c r="T254" s="181" t="str">
        <f ca="1">IF(B254="","",IF(ISERROR(MATCH($J254,SorP!$B$1:$B$6279,0)),"",INDIRECT("'SorP'!$A$"&amp;MATCH($S254&amp;$J254,SorP!C:C,0))))</f>
        <v>IT-52</v>
      </c>
      <c r="U254" s="201"/>
      <c r="V254" s="226">
        <f>IF(C254="",NA(),IF(OR(C254="Smelter not listed",C254="Smelter not yet identified"),MATCH($B254&amp;$D254,'Smelter Look-up'!$J:$J,0),MATCH($B254&amp;$C254,'Smelter Look-up'!$J:$J,0)))</f>
        <v>269</v>
      </c>
      <c r="X254" s="227">
        <f t="shared" si="34"/>
        <v>0</v>
      </c>
      <c r="AB254" s="228" t="str">
        <f t="shared" si="35"/>
        <v>GoldT.C.A S.p.A</v>
      </c>
    </row>
    <row r="255" spans="1:28" s="227" customFormat="1" ht="51">
      <c r="A255" s="181" t="s">
        <v>2316</v>
      </c>
      <c r="B255" s="182" t="s">
        <v>1125</v>
      </c>
      <c r="C255" s="186" t="s">
        <v>13792</v>
      </c>
      <c r="D255" s="230"/>
      <c r="E255" s="182" t="s">
        <v>1112</v>
      </c>
      <c r="F255" s="182" t="s">
        <v>2316</v>
      </c>
      <c r="G255" s="182" t="s">
        <v>13240</v>
      </c>
      <c r="H255" s="183">
        <v>0</v>
      </c>
      <c r="I255" s="184" t="s">
        <v>2349</v>
      </c>
      <c r="J255" s="184" t="s">
        <v>8897</v>
      </c>
      <c r="K255" s="224"/>
      <c r="L255" s="224"/>
      <c r="M255" s="224"/>
      <c r="N255" s="224"/>
      <c r="O255" s="224"/>
      <c r="P255" s="185"/>
      <c r="Q255" s="225" t="s">
        <v>15815</v>
      </c>
      <c r="R255" s="182" t="str">
        <f ca="1">IF(ISERROR($V255),"",OFFSET('Smelter Look-up'!$C$4,$V255-4,0)&amp;"")</f>
        <v>REMONDIS PMR B.V.</v>
      </c>
      <c r="S255" s="181" t="str">
        <f t="shared" ca="1" si="33"/>
        <v>NL</v>
      </c>
      <c r="T255" s="181" t="str">
        <f ca="1">IF(B255="","",IF(ISERROR(MATCH($J255,SorP!$B$1:$B$6279,0)),"",INDIRECT("'SorP'!$A$"&amp;MATCH($S255&amp;$J255,SorP!C:C,0))))</f>
        <v>NL-NB</v>
      </c>
      <c r="U255" s="201"/>
      <c r="V255" s="226">
        <f>IF(C255="",NA(),IF(OR(C255="Smelter not listed",C255="Smelter not yet identified"),MATCH($B255&amp;$D255,'Smelter Look-up'!$J:$J,0),MATCH($B255&amp;$C255,'Smelter Look-up'!$J:$J,0)))</f>
        <v>219</v>
      </c>
      <c r="X255" s="227">
        <f t="shared" si="34"/>
        <v>0</v>
      </c>
      <c r="AB255" s="228" t="str">
        <f t="shared" si="35"/>
        <v>GoldREMONDIS PMR B.V.</v>
      </c>
    </row>
    <row r="256" spans="1:28" s="227" customFormat="1" ht="51">
      <c r="A256" s="181" t="s">
        <v>13789</v>
      </c>
      <c r="B256" s="182" t="s">
        <v>1125</v>
      </c>
      <c r="C256" s="186" t="s">
        <v>13788</v>
      </c>
      <c r="D256" s="230"/>
      <c r="E256" s="182" t="s">
        <v>1088</v>
      </c>
      <c r="F256" s="182" t="s">
        <v>13789</v>
      </c>
      <c r="G256" s="182" t="s">
        <v>13240</v>
      </c>
      <c r="H256" s="183"/>
      <c r="I256" s="184" t="s">
        <v>13825</v>
      </c>
      <c r="J256" s="184" t="s">
        <v>2571</v>
      </c>
      <c r="K256" s="224"/>
      <c r="L256" s="224"/>
      <c r="M256" s="224"/>
      <c r="N256" s="224"/>
      <c r="O256" s="224"/>
      <c r="P256" s="185"/>
      <c r="Q256" s="225"/>
      <c r="R256" s="182" t="str">
        <f ca="1">IF(ISERROR($V256),"",OFFSET('Smelter Look-up'!$C$4,$V256-4,0)&amp;"")</f>
        <v>Fujairah Gold FZC</v>
      </c>
      <c r="S256" s="181" t="str">
        <f t="shared" ca="1" si="33"/>
        <v>AE</v>
      </c>
      <c r="T256" s="181" t="str">
        <f ca="1">IF(B256="","",IF(ISERROR(MATCH($J256,SorP!$B$1:$B$6279,0)),"",INDIRECT("'SorP'!$A$"&amp;MATCH($S256&amp;$J256,SorP!C:C,0))))</f>
        <v>AE-FU</v>
      </c>
      <c r="U256" s="201"/>
      <c r="V256" s="226">
        <f>IF(C256="",NA(),IF(OR(C256="Smelter not listed",C256="Smelter not yet identified"),MATCH($B256&amp;$D256,'Smelter Look-up'!$J:$J,0),MATCH($B256&amp;$C256,'Smelter Look-up'!$J:$J,0)))</f>
        <v>84</v>
      </c>
      <c r="X256" s="227">
        <f t="shared" si="34"/>
        <v>0</v>
      </c>
      <c r="AB256" s="228" t="str">
        <f t="shared" si="35"/>
        <v>GoldFujairah Gold FZC</v>
      </c>
    </row>
    <row r="257" spans="1:28" s="227" customFormat="1" ht="63.75">
      <c r="A257" s="181" t="s">
        <v>1841</v>
      </c>
      <c r="B257" s="182" t="s">
        <v>1128</v>
      </c>
      <c r="C257" s="186" t="s">
        <v>1840</v>
      </c>
      <c r="D257" s="230"/>
      <c r="E257" s="182" t="s">
        <v>2432</v>
      </c>
      <c r="F257" s="182" t="s">
        <v>1841</v>
      </c>
      <c r="G257" s="182" t="s">
        <v>13240</v>
      </c>
      <c r="H257" s="183">
        <v>0</v>
      </c>
      <c r="I257" s="184" t="s">
        <v>1842</v>
      </c>
      <c r="J257" s="184" t="s">
        <v>1617</v>
      </c>
      <c r="K257" s="224"/>
      <c r="L257" s="224"/>
      <c r="M257" s="224"/>
      <c r="N257" s="224"/>
      <c r="O257" s="224"/>
      <c r="P257" s="185"/>
      <c r="Q257" s="225" t="s">
        <v>15815</v>
      </c>
      <c r="R257" s="182" t="str">
        <f ca="1">IF(ISERROR($V257),"",OFFSET('Smelter Look-up'!$C$4,$V257-4,0)&amp;"")</f>
        <v>Niagara Refining LLC</v>
      </c>
      <c r="S257" s="181" t="str">
        <f t="shared" ca="1" si="33"/>
        <v>US</v>
      </c>
      <c r="T257" s="181" t="str">
        <f ca="1">IF(B257="","",IF(ISERROR(MATCH($J257,SorP!$B$1:$B$6279,0)),"",INDIRECT("'SorP'!$A$"&amp;MATCH($S257&amp;$J257,SorP!C:C,0))))</f>
        <v>US-NY</v>
      </c>
      <c r="U257" s="201"/>
      <c r="V257" s="226">
        <f>IF(C257="",NA(),IF(OR(C257="Smelter not listed",C257="Smelter not yet identified"),MATCH($B257&amp;$D257,'Smelter Look-up'!$J:$J,0),MATCH($B257&amp;$C257,'Smelter Look-up'!$J:$J,0)))</f>
        <v>621</v>
      </c>
      <c r="X257" s="227">
        <f t="shared" si="34"/>
        <v>0</v>
      </c>
      <c r="AB257" s="228" t="str">
        <f t="shared" si="35"/>
        <v>TungstenNiagara Refining LLC</v>
      </c>
    </row>
    <row r="258" spans="1:28" s="227" customFormat="1" ht="51">
      <c r="A258" s="181" t="s">
        <v>15995</v>
      </c>
      <c r="B258" s="182" t="s">
        <v>1126</v>
      </c>
      <c r="C258" s="186" t="s">
        <v>15996</v>
      </c>
      <c r="D258" s="230" t="s">
        <v>15996</v>
      </c>
      <c r="E258" s="182" t="s">
        <v>1101</v>
      </c>
      <c r="F258" s="182" t="s">
        <v>15995</v>
      </c>
      <c r="G258" s="182" t="s">
        <v>15883</v>
      </c>
      <c r="H258" s="183">
        <v>0</v>
      </c>
      <c r="I258" s="184" t="s">
        <v>15143</v>
      </c>
      <c r="J258" s="184" t="s">
        <v>15884</v>
      </c>
      <c r="K258" s="224"/>
      <c r="L258" s="224"/>
      <c r="M258" s="224"/>
      <c r="N258" s="224"/>
      <c r="O258" s="224"/>
      <c r="P258" s="185"/>
      <c r="Q258" s="225" t="s">
        <v>15907</v>
      </c>
      <c r="R258" s="182" t="str">
        <f ca="1">IF(ISERROR($V258),"",OFFSET('Smelter Look-up'!$C$4,$V258-4,0)&amp;"")</f>
        <v/>
      </c>
      <c r="S258" s="181" t="str">
        <f t="shared" ca="1" si="33"/>
        <v>ID</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si="34"/>
        <v>0</v>
      </c>
      <c r="AB258" s="228" t="str">
        <f t="shared" si="35"/>
        <v>TinCV Dua Sekawan</v>
      </c>
    </row>
    <row r="259" spans="1:28" s="227" customFormat="1" ht="51">
      <c r="A259" s="181" t="s">
        <v>15881</v>
      </c>
      <c r="B259" s="182" t="s">
        <v>1126</v>
      </c>
      <c r="C259" s="186" t="s">
        <v>1850</v>
      </c>
      <c r="D259" s="230" t="s">
        <v>15882</v>
      </c>
      <c r="E259" s="182" t="s">
        <v>1101</v>
      </c>
      <c r="F259" s="182" t="s">
        <v>15881</v>
      </c>
      <c r="G259" s="182" t="s">
        <v>13240</v>
      </c>
      <c r="H259" s="183" t="s">
        <v>15802</v>
      </c>
      <c r="I259" s="184" t="s">
        <v>15143</v>
      </c>
      <c r="J259" s="184" t="s">
        <v>12852</v>
      </c>
      <c r="K259" s="224"/>
      <c r="L259" s="224"/>
      <c r="M259" s="224"/>
      <c r="N259" s="224"/>
      <c r="O259" s="224"/>
      <c r="P259" s="185"/>
      <c r="Q259" s="225" t="s">
        <v>15997</v>
      </c>
      <c r="R259" s="182" t="str">
        <f ca="1">IF(ISERROR($V259),"",OFFSET('Smelter Look-up'!$C$4,$V259-4,0)&amp;"")</f>
        <v/>
      </c>
      <c r="S259" s="181" t="str">
        <f t="shared" ca="1" si="33"/>
        <v>ID</v>
      </c>
      <c r="T259" s="181" t="str">
        <f ca="1">IF(B259="","",IF(ISERROR(MATCH($J259,SorP!$B$1:$B$6279,0)),"",INDIRECT("'SorP'!$A$"&amp;MATCH($S259&amp;$J259,SorP!C:C,0))))</f>
        <v>ID-BB</v>
      </c>
      <c r="U259" s="201"/>
      <c r="V259" s="226" t="e">
        <f>IF(C259="",NA(),IF(OR(C259="Smelter not listed",C259="Smelter not yet identified"),MATCH($B259&amp;$D259,'Smelter Look-up'!$J:$J,0),MATCH($B259&amp;$C259,'Smelter Look-up'!$J:$J,0)))</f>
        <v>#N/A</v>
      </c>
      <c r="X259" s="227">
        <f t="shared" si="34"/>
        <v>0</v>
      </c>
      <c r="AB259" s="228" t="str">
        <f t="shared" si="35"/>
        <v>TinSmelter not listed</v>
      </c>
    </row>
    <row r="260" spans="1:28" s="227" customFormat="1" ht="51">
      <c r="A260" s="181" t="s">
        <v>1714</v>
      </c>
      <c r="B260" s="182" t="s">
        <v>1125</v>
      </c>
      <c r="C260" s="186" t="s">
        <v>2302</v>
      </c>
      <c r="D260" s="230"/>
      <c r="E260" s="182" t="s">
        <v>1107</v>
      </c>
      <c r="F260" s="182" t="s">
        <v>1714</v>
      </c>
      <c r="G260" s="182" t="s">
        <v>13240</v>
      </c>
      <c r="H260" s="183">
        <v>0</v>
      </c>
      <c r="I260" s="184" t="s">
        <v>1715</v>
      </c>
      <c r="J260" s="184" t="s">
        <v>12877</v>
      </c>
      <c r="K260" s="224"/>
      <c r="L260" s="224"/>
      <c r="M260" s="224"/>
      <c r="N260" s="224"/>
      <c r="O260" s="224"/>
      <c r="P260" s="185"/>
      <c r="Q260" s="225" t="s">
        <v>15815</v>
      </c>
      <c r="R260" s="182" t="str">
        <f ca="1">IF(ISERROR($V260),"",OFFSET('Smelter Look-up'!$C$4,$V260-4,0)&amp;"")</f>
        <v>Korea Zinc Co., Ltd.</v>
      </c>
      <c r="S260" s="181" t="str">
        <f t="shared" ca="1" si="33"/>
        <v>KR</v>
      </c>
      <c r="T260" s="181" t="str">
        <f ca="1">IF(B260="","",IF(ISERROR(MATCH($J260,SorP!$B$1:$B$6279,0)),"",INDIRECT("'SorP'!$A$"&amp;MATCH($S260&amp;$J260,SorP!C:C,0))))</f>
        <v>KR-11</v>
      </c>
      <c r="U260" s="201"/>
      <c r="V260" s="226">
        <f>IF(C260="",NA(),IF(OR(C260="Smelter not listed",C260="Smelter not yet identified"),MATCH($B260&amp;$D260,'Smelter Look-up'!$J:$J,0),MATCH($B260&amp;$C260,'Smelter Look-up'!$J:$J,0)))</f>
        <v>144</v>
      </c>
      <c r="X260" s="227">
        <f t="shared" si="34"/>
        <v>0</v>
      </c>
      <c r="AB260" s="228" t="str">
        <f t="shared" si="35"/>
        <v>GoldKorea Zinc Co., Ltd.</v>
      </c>
    </row>
    <row r="261" spans="1:28" s="227" customFormat="1" ht="38.25">
      <c r="A261" s="181" t="s">
        <v>2509</v>
      </c>
      <c r="B261" s="182" t="s">
        <v>1125</v>
      </c>
      <c r="C261" s="186" t="s">
        <v>2508</v>
      </c>
      <c r="D261" s="230"/>
      <c r="E261" s="182" t="s">
        <v>1092</v>
      </c>
      <c r="F261" s="182" t="s">
        <v>2509</v>
      </c>
      <c r="G261" s="182" t="s">
        <v>13240</v>
      </c>
      <c r="H261" s="183">
        <v>0</v>
      </c>
      <c r="I261" s="184" t="s">
        <v>2510</v>
      </c>
      <c r="J261" s="184" t="s">
        <v>1674</v>
      </c>
      <c r="K261" s="224"/>
      <c r="L261" s="224"/>
      <c r="M261" s="224"/>
      <c r="N261" s="224"/>
      <c r="O261" s="224"/>
      <c r="P261" s="185"/>
      <c r="Q261" s="225" t="s">
        <v>15815</v>
      </c>
      <c r="R261" s="182" t="str">
        <f ca="1">IF(ISERROR($V261),"",OFFSET('Smelter Look-up'!$C$4,$V261-4,0)&amp;"")</f>
        <v>Marsam Metals</v>
      </c>
      <c r="S261" s="181" t="str">
        <f t="shared" ref="S261" ca="1" si="36">IF(B261="","",IF(ISERROR(MATCH($E261,CL,0)),"Unknown",INDIRECT("'C'!$A$"&amp;MATCH($E261,CL,0)+1)))</f>
        <v>BR</v>
      </c>
      <c r="T261" s="181" t="str">
        <f ca="1">IF(B261="","",IF(ISERROR(MATCH($J261,SorP!$B$1:$B$6279,0)),"",INDIRECT("'SorP'!$A$"&amp;MATCH($S261&amp;$J261,SorP!C:C,0))))</f>
        <v>BR-SP</v>
      </c>
      <c r="U261" s="201"/>
      <c r="V261" s="226">
        <f>IF(C261="",NA(),IF(OR(C261="Smelter not listed",C261="Smelter not yet identified"),MATCH($B261&amp;$D261,'Smelter Look-up'!$J:$J,0),MATCH($B261&amp;$C261,'Smelter Look-up'!$J:$J,0)))</f>
        <v>162</v>
      </c>
      <c r="X261" s="227">
        <f t="shared" ref="X261" si="37">IF(AND(C261="Smelter not listed",OR(LEN(D261)=0,LEN(E261)=0)),1,0)</f>
        <v>0</v>
      </c>
      <c r="AB261" s="228" t="str">
        <f t="shared" ref="AB261" si="38">B261&amp;C261</f>
        <v>GoldMarsam Metals</v>
      </c>
    </row>
    <row r="262" spans="1:28" s="227" customFormat="1" ht="51">
      <c r="A262" s="181" t="s">
        <v>2328</v>
      </c>
      <c r="B262" s="182" t="s">
        <v>1125</v>
      </c>
      <c r="C262" s="186" t="s">
        <v>2327</v>
      </c>
      <c r="D262" s="230"/>
      <c r="E262" s="182" t="s">
        <v>1105</v>
      </c>
      <c r="F262" s="182" t="s">
        <v>2328</v>
      </c>
      <c r="G262" s="182" t="s">
        <v>13240</v>
      </c>
      <c r="H262" s="183" t="s">
        <v>15802</v>
      </c>
      <c r="I262" s="184" t="s">
        <v>2329</v>
      </c>
      <c r="J262" s="184" t="s">
        <v>2330</v>
      </c>
      <c r="K262" s="224" t="s">
        <v>15802</v>
      </c>
      <c r="L262" s="224" t="s">
        <v>15802</v>
      </c>
      <c r="M262" s="224" t="s">
        <v>15802</v>
      </c>
      <c r="N262" s="224" t="s">
        <v>15802</v>
      </c>
      <c r="O262" s="224" t="s">
        <v>490</v>
      </c>
      <c r="P262" s="185" t="s">
        <v>15802</v>
      </c>
      <c r="Q262" s="225" t="s">
        <v>15802</v>
      </c>
      <c r="R262" s="182" t="str">
        <f ca="1">IF(ISERROR($V262),"",OFFSET('Smelter Look-up'!$C$4,$V262-4,0)&amp;"")</f>
        <v>TOO Tau-Ken-Altyn</v>
      </c>
      <c r="S262" s="181" t="str">
        <f t="shared" ref="S262:S293" ca="1" si="39">IF(B262="","",IF(ISERROR(MATCH($E262,CL,0)),"Unknown",INDIRECT("'C'!$A$"&amp;MATCH($E262,CL,0)+1)))</f>
        <v>KZ</v>
      </c>
      <c r="T262" s="181" t="str">
        <f ca="1">IF(B262="","",IF(ISERROR(MATCH($J262,SorP!$B$1:$B$6279,0)),"",INDIRECT("'SorP'!$A$"&amp;MATCH($S262&amp;$J262,SorP!C:C,0))))</f>
        <v>KZ-ALA</v>
      </c>
      <c r="U262" s="201"/>
      <c r="V262" s="226">
        <f>IF(C262="",NA(),IF(OR(C262="Smelter not listed",C262="Smelter not yet identified"),MATCH($B262&amp;$D262,'Smelter Look-up'!$J:$J,0),MATCH($B262&amp;$C262,'Smelter Look-up'!$J:$J,0)))</f>
        <v>287</v>
      </c>
      <c r="X262" s="227">
        <f t="shared" ref="X262:X293" si="40">IF(AND(C262="Smelter not listed",OR(LEN(D262)=0,LEN(E262)=0)),1,0)</f>
        <v>0</v>
      </c>
      <c r="AB262" s="228" t="str">
        <f t="shared" ref="AB262:AB293" si="41">B262&amp;C262</f>
        <v>GoldTOO Tau-Ken-Altyn</v>
      </c>
    </row>
    <row r="263" spans="1:28" s="227" customFormat="1" ht="89.25">
      <c r="A263" s="181" t="s">
        <v>13812</v>
      </c>
      <c r="B263" s="182" t="s">
        <v>1128</v>
      </c>
      <c r="C263" s="186" t="s">
        <v>15123</v>
      </c>
      <c r="D263" s="230"/>
      <c r="E263" s="182" t="s">
        <v>1096</v>
      </c>
      <c r="F263" s="182" t="s">
        <v>13812</v>
      </c>
      <c r="G263" s="182" t="s">
        <v>13240</v>
      </c>
      <c r="H263" s="183" t="s">
        <v>15802</v>
      </c>
      <c r="I263" s="184" t="s">
        <v>1615</v>
      </c>
      <c r="J263" s="184" t="s">
        <v>13621</v>
      </c>
      <c r="K263" s="224" t="s">
        <v>15802</v>
      </c>
      <c r="L263" s="224" t="s">
        <v>15802</v>
      </c>
      <c r="M263" s="224" t="s">
        <v>15802</v>
      </c>
      <c r="N263" s="224" t="s">
        <v>15802</v>
      </c>
      <c r="O263" s="224" t="s">
        <v>15886</v>
      </c>
      <c r="P263" s="185" t="s">
        <v>489</v>
      </c>
      <c r="Q263" s="225" t="s">
        <v>15802</v>
      </c>
      <c r="R263" s="182" t="str">
        <f ca="1">IF(ISERROR($V263),"",OFFSET('Smelter Look-up'!$C$4,$V263-4,0)&amp;"")</f>
        <v>China Molybdenum Tungsten Co., Ltd.</v>
      </c>
      <c r="S263" s="181" t="str">
        <f t="shared" ca="1" si="39"/>
        <v>CN</v>
      </c>
      <c r="T263" s="181" t="str">
        <f ca="1">IF(B263="","",IF(ISERROR(MATCH($J263,SorP!$B$1:$B$6279,0)),"",INDIRECT("'SorP'!$A$"&amp;MATCH($S263&amp;$J263,SorP!C:C,0))))</f>
        <v>CN-HA</v>
      </c>
      <c r="U263" s="201"/>
      <c r="V263" s="226">
        <f>IF(C263="",NA(),IF(OR(C263="Smelter not listed",C263="Smelter not yet identified"),MATCH($B263&amp;$D263,'Smelter Look-up'!$J:$J,0),MATCH($B263&amp;$C263,'Smelter Look-up'!$J:$J,0)))</f>
        <v>571</v>
      </c>
      <c r="X263" s="227">
        <f t="shared" si="40"/>
        <v>0</v>
      </c>
      <c r="AB263" s="228" t="str">
        <f t="shared" si="41"/>
        <v>TungstenChina Molybdenum Tungsten Co., Ltd.</v>
      </c>
    </row>
    <row r="264" spans="1:28" s="227" customFormat="1" ht="102">
      <c r="A264" s="181" t="s">
        <v>2535</v>
      </c>
      <c r="B264" s="182" t="s">
        <v>1128</v>
      </c>
      <c r="C264" s="186" t="s">
        <v>12937</v>
      </c>
      <c r="D264" s="230"/>
      <c r="E264" s="182" t="s">
        <v>1096</v>
      </c>
      <c r="F264" s="182" t="s">
        <v>2535</v>
      </c>
      <c r="G264" s="182" t="s">
        <v>13240</v>
      </c>
      <c r="H264" s="183">
        <v>0</v>
      </c>
      <c r="I264" s="184" t="s">
        <v>1773</v>
      </c>
      <c r="J264" s="184" t="s">
        <v>13619</v>
      </c>
      <c r="K264" s="224"/>
      <c r="L264" s="224"/>
      <c r="M264" s="224"/>
      <c r="N264" s="224"/>
      <c r="O264" s="224"/>
      <c r="P264" s="185"/>
      <c r="Q264" s="225" t="s">
        <v>15815</v>
      </c>
      <c r="R264" s="182" t="str">
        <f ca="1">IF(ISERROR($V264),"",OFFSET('Smelter Look-up'!$C$4,$V264-4,0)&amp;"")</f>
        <v>Ganzhou Haichuang Tungsten Co., Ltd.</v>
      </c>
      <c r="S264" s="181" t="str">
        <f t="shared" ca="1" si="39"/>
        <v>CN</v>
      </c>
      <c r="T264" s="181" t="str">
        <f ca="1">IF(B264="","",IF(ISERROR(MATCH($J264,SorP!$B$1:$B$6279,0)),"",INDIRECT("'SorP'!$A$"&amp;MATCH($S264&amp;$J264,SorP!C:C,0))))</f>
        <v>CN-JX</v>
      </c>
      <c r="U264" s="201"/>
      <c r="V264" s="226">
        <f>IF(C264="",NA(),IF(OR(C264="Smelter not listed",C264="Smelter not yet identified"),MATCH($B264&amp;$D264,'Smelter Look-up'!$J:$J,0),MATCH($B264&amp;$C264,'Smelter Look-up'!$J:$J,0)))</f>
        <v>580</v>
      </c>
      <c r="X264" s="227">
        <f t="shared" si="40"/>
        <v>0</v>
      </c>
      <c r="AB264" s="228" t="str">
        <f t="shared" si="41"/>
        <v>TungstenGanzhou Haichuang Tungsten Co., Ltd.</v>
      </c>
    </row>
    <row r="265" spans="1:28" s="227" customFormat="1" ht="51">
      <c r="A265" s="181" t="s">
        <v>1844</v>
      </c>
      <c r="B265" s="182" t="s">
        <v>1128</v>
      </c>
      <c r="C265" s="186" t="s">
        <v>1843</v>
      </c>
      <c r="D265" s="230"/>
      <c r="E265" s="182" t="s">
        <v>879</v>
      </c>
      <c r="F265" s="182" t="s">
        <v>1844</v>
      </c>
      <c r="G265" s="182" t="s">
        <v>13240</v>
      </c>
      <c r="H265" s="183">
        <v>0</v>
      </c>
      <c r="I265" s="184" t="s">
        <v>1845</v>
      </c>
      <c r="J265" s="184" t="s">
        <v>10026</v>
      </c>
      <c r="K265" s="224"/>
      <c r="L265" s="224"/>
      <c r="M265" s="224"/>
      <c r="N265" s="224"/>
      <c r="O265" s="224"/>
      <c r="P265" s="185"/>
      <c r="Q265" s="225" t="s">
        <v>15815</v>
      </c>
      <c r="R265" s="182" t="str">
        <f ca="1">IF(ISERROR($V265),"",OFFSET('Smelter Look-up'!$C$4,$V265-4,0)&amp;"")</f>
        <v>Hydrometallurg, JSC</v>
      </c>
      <c r="S265" s="181" t="str">
        <f t="shared" ca="1" si="39"/>
        <v>RU</v>
      </c>
      <c r="T265" s="181" t="str">
        <f ca="1">IF(B265="","",IF(ISERROR(MATCH($J265,SorP!$B$1:$B$6279,0)),"",INDIRECT("'SorP'!$A$"&amp;MATCH($S265&amp;$J265,SorP!C:C,0))))</f>
        <v>RU-KB</v>
      </c>
      <c r="U265" s="201"/>
      <c r="V265" s="226">
        <f>IF(C265="",NA(),IF(OR(C265="Smelter not listed",C265="Smelter not yet identified"),MATCH($B265&amp;$D265,'Smelter Look-up'!$J:$J,0),MATCH($B265&amp;$C265,'Smelter Look-up'!$J:$J,0)))</f>
        <v>599</v>
      </c>
      <c r="X265" s="227">
        <f t="shared" si="40"/>
        <v>0</v>
      </c>
      <c r="AB265" s="228" t="str">
        <f t="shared" si="41"/>
        <v>TungstenHydrometallurg, JSC</v>
      </c>
    </row>
    <row r="266" spans="1:28" s="227" customFormat="1" ht="51">
      <c r="A266" s="181" t="s">
        <v>15484</v>
      </c>
      <c r="B266" s="182" t="s">
        <v>1126</v>
      </c>
      <c r="C266" s="186" t="s">
        <v>15483</v>
      </c>
      <c r="D266" s="230"/>
      <c r="E266" s="182" t="s">
        <v>1101</v>
      </c>
      <c r="F266" s="182" t="s">
        <v>15484</v>
      </c>
      <c r="G266" s="182" t="s">
        <v>13240</v>
      </c>
      <c r="H266" s="183" t="s">
        <v>15802</v>
      </c>
      <c r="I266" s="184" t="s">
        <v>15485</v>
      </c>
      <c r="J266" s="184" t="s">
        <v>1790</v>
      </c>
      <c r="K266" s="224" t="s">
        <v>15802</v>
      </c>
      <c r="L266" s="224" t="s">
        <v>15802</v>
      </c>
      <c r="M266" s="224" t="s">
        <v>15885</v>
      </c>
      <c r="N266" s="224" t="s">
        <v>15802</v>
      </c>
      <c r="O266" s="224" t="s">
        <v>15886</v>
      </c>
      <c r="P266" s="185" t="s">
        <v>489</v>
      </c>
      <c r="Q266" s="225" t="s">
        <v>15802</v>
      </c>
      <c r="R266" s="182" t="str">
        <f ca="1">IF(ISERROR($V266),"",OFFSET('Smelter Look-up'!$C$4,$V266-4,0)&amp;"")</f>
        <v>PT Cipta Persada Mulia</v>
      </c>
      <c r="S266" s="181" t="str">
        <f t="shared" ca="1" si="39"/>
        <v>ID</v>
      </c>
      <c r="T266" s="181" t="str">
        <f ca="1">IF(B266="","",IF(ISERROR(MATCH($J266,SorP!$B$1:$B$6279,0)),"",INDIRECT("'SorP'!$A$"&amp;MATCH($S266&amp;$J266,SorP!C:C,0))))</f>
        <v>ID-KR</v>
      </c>
      <c r="U266" s="201"/>
      <c r="V266" s="226">
        <f>IF(C266="",NA(),IF(OR(C266="Smelter not listed",C266="Smelter not yet identified"),MATCH($B266&amp;$D266,'Smelter Look-up'!$J:$J,0),MATCH($B266&amp;$C266,'Smelter Look-up'!$J:$J,0)))</f>
        <v>496</v>
      </c>
      <c r="X266" s="227">
        <f t="shared" si="40"/>
        <v>0</v>
      </c>
      <c r="AB266" s="228" t="str">
        <f t="shared" si="41"/>
        <v>TinPT Cipta Persada Mulia</v>
      </c>
    </row>
    <row r="267" spans="1:28" s="227" customFormat="1" ht="114.75">
      <c r="A267" s="181" t="s">
        <v>2137</v>
      </c>
      <c r="B267" s="182" t="s">
        <v>1126</v>
      </c>
      <c r="C267" s="186" t="s">
        <v>2136</v>
      </c>
      <c r="D267" s="230"/>
      <c r="E267" s="182" t="s">
        <v>888</v>
      </c>
      <c r="F267" s="182" t="s">
        <v>2137</v>
      </c>
      <c r="G267" s="182" t="s">
        <v>13240</v>
      </c>
      <c r="H267" s="183">
        <v>0</v>
      </c>
      <c r="I267" s="184" t="s">
        <v>1810</v>
      </c>
      <c r="J267" s="184" t="s">
        <v>12128</v>
      </c>
      <c r="K267" s="224"/>
      <c r="L267" s="224"/>
      <c r="M267" s="224"/>
      <c r="N267" s="224"/>
      <c r="O267" s="224"/>
      <c r="P267" s="185"/>
      <c r="Q267" s="225"/>
      <c r="R267" s="182" t="str">
        <f ca="1">IF(ISERROR($V267),"",OFFSET('Smelter Look-up'!$C$4,$V267-4,0)&amp;"")</f>
        <v>An Vinh Joint Stock Mineral Processing Company</v>
      </c>
      <c r="S267" s="181" t="str">
        <f t="shared" ca="1" si="39"/>
        <v>VN</v>
      </c>
      <c r="T267" s="181" t="str">
        <f ca="1">IF(B267="","",IF(ISERROR(MATCH($J267,SorP!$B$1:$B$6279,0)),"",INDIRECT("'SorP'!$A$"&amp;MATCH($S267&amp;$J267,SorP!C:C,0))))</f>
        <v>VN-22</v>
      </c>
      <c r="U267" s="201"/>
      <c r="V267" s="226">
        <f>IF(C267="",NA(),IF(OR(C267="Smelter not listed",C267="Smelter not yet identified"),MATCH($B267&amp;$D267,'Smelter Look-up'!$J:$J,0),MATCH($B267&amp;$C267,'Smelter Look-up'!$J:$J,0)))</f>
        <v>393</v>
      </c>
      <c r="X267" s="227">
        <f t="shared" si="40"/>
        <v>0</v>
      </c>
      <c r="AB267" s="228" t="str">
        <f t="shared" si="41"/>
        <v>TinAn Vinh Joint Stock Mineral Processing Company</v>
      </c>
    </row>
    <row r="268" spans="1:28" s="227" customFormat="1" ht="76.5">
      <c r="A268" s="181" t="s">
        <v>1814</v>
      </c>
      <c r="B268" s="182" t="s">
        <v>1126</v>
      </c>
      <c r="C268" s="186" t="s">
        <v>12434</v>
      </c>
      <c r="D268" s="230"/>
      <c r="E268" s="182" t="s">
        <v>1092</v>
      </c>
      <c r="F268" s="182" t="s">
        <v>1814</v>
      </c>
      <c r="G268" s="182" t="s">
        <v>13240</v>
      </c>
      <c r="H268" s="183">
        <v>0</v>
      </c>
      <c r="I268" s="184" t="s">
        <v>1721</v>
      </c>
      <c r="J268" s="184" t="s">
        <v>1758</v>
      </c>
      <c r="K268" s="224"/>
      <c r="L268" s="224"/>
      <c r="M268" s="224"/>
      <c r="N268" s="224"/>
      <c r="O268" s="224"/>
      <c r="P268" s="185"/>
      <c r="Q268" s="225" t="s">
        <v>15815</v>
      </c>
      <c r="R268" s="182" t="str">
        <f ca="1">IF(ISERROR($V268),"",OFFSET('Smelter Look-up'!$C$4,$V268-4,0)&amp;"")</f>
        <v>Resind Industria e Comercio Ltda.</v>
      </c>
      <c r="S268" s="181" t="str">
        <f t="shared" ca="1" si="39"/>
        <v>BR</v>
      </c>
      <c r="T268" s="181" t="str">
        <f ca="1">IF(B268="","",IF(ISERROR(MATCH($J268,SorP!$B$1:$B$6279,0)),"",INDIRECT("'SorP'!$A$"&amp;MATCH($S268&amp;$J268,SorP!C:C,0))))</f>
        <v>BR-MG</v>
      </c>
      <c r="U268" s="201"/>
      <c r="V268" s="226">
        <f>IF(C268="",NA(),IF(OR(C268="Smelter not listed",C268="Smelter not yet identified"),MATCH($B268&amp;$D268,'Smelter Look-up'!$J:$J,0),MATCH($B268&amp;$C268,'Smelter Look-up'!$J:$J,0)))</f>
        <v>519</v>
      </c>
      <c r="X268" s="227">
        <f t="shared" si="40"/>
        <v>0</v>
      </c>
      <c r="AB268" s="228" t="str">
        <f t="shared" si="41"/>
        <v>TinResind Industria e Comercio Ltda.</v>
      </c>
    </row>
    <row r="269" spans="1:28" s="227" customFormat="1" ht="76.5">
      <c r="A269" s="181" t="s">
        <v>1757</v>
      </c>
      <c r="B269" s="182" t="s">
        <v>1127</v>
      </c>
      <c r="C269" s="186" t="s">
        <v>12434</v>
      </c>
      <c r="D269" s="230"/>
      <c r="E269" s="182" t="s">
        <v>1092</v>
      </c>
      <c r="F269" s="182" t="s">
        <v>1757</v>
      </c>
      <c r="G269" s="182" t="s">
        <v>13240</v>
      </c>
      <c r="H269" s="183">
        <v>0</v>
      </c>
      <c r="I269" s="184" t="s">
        <v>1721</v>
      </c>
      <c r="J269" s="184" t="s">
        <v>1758</v>
      </c>
      <c r="K269" s="224"/>
      <c r="L269" s="224"/>
      <c r="M269" s="224"/>
      <c r="N269" s="224"/>
      <c r="O269" s="224"/>
      <c r="P269" s="185"/>
      <c r="Q269" s="225" t="s">
        <v>15815</v>
      </c>
      <c r="R269" s="182" t="str">
        <f ca="1">IF(ISERROR($V269),"",OFFSET('Smelter Look-up'!$C$4,$V269-4,0)&amp;"")</f>
        <v>Resind Industria e Comercio Ltda.</v>
      </c>
      <c r="S269" s="181" t="str">
        <f t="shared" ca="1" si="39"/>
        <v>BR</v>
      </c>
      <c r="T269" s="181" t="str">
        <f ca="1">IF(B269="","",IF(ISERROR(MATCH($J269,SorP!$B$1:$B$6279,0)),"",INDIRECT("'SorP'!$A$"&amp;MATCH($S269&amp;$J269,SorP!C:C,0))))</f>
        <v>BR-MG</v>
      </c>
      <c r="U269" s="201"/>
      <c r="V269" s="226">
        <f>IF(C269="",NA(),IF(OR(C269="Smelter not listed",C269="Smelter not yet identified"),MATCH($B269&amp;$D269,'Smelter Look-up'!$J:$J,0),MATCH($B269&amp;$C269,'Smelter Look-up'!$J:$J,0)))</f>
        <v>363</v>
      </c>
      <c r="X269" s="227">
        <f t="shared" si="40"/>
        <v>0</v>
      </c>
      <c r="AB269" s="228" t="str">
        <f t="shared" si="41"/>
        <v>TantalumResind Industria e Comercio Ltda.</v>
      </c>
    </row>
    <row r="270" spans="1:28" s="227" customFormat="1" ht="63.75">
      <c r="A270" s="181" t="s">
        <v>2434</v>
      </c>
      <c r="B270" s="182" t="s">
        <v>1125</v>
      </c>
      <c r="C270" s="186" t="s">
        <v>2433</v>
      </c>
      <c r="D270" s="230"/>
      <c r="E270" s="182" t="s">
        <v>2432</v>
      </c>
      <c r="F270" s="182" t="s">
        <v>2434</v>
      </c>
      <c r="G270" s="182" t="s">
        <v>13240</v>
      </c>
      <c r="H270" s="183">
        <v>0</v>
      </c>
      <c r="I270" s="184" t="s">
        <v>2435</v>
      </c>
      <c r="J270" s="184" t="s">
        <v>1737</v>
      </c>
      <c r="K270" s="224"/>
      <c r="L270" s="224"/>
      <c r="M270" s="224"/>
      <c r="N270" s="224"/>
      <c r="O270" s="224"/>
      <c r="P270" s="185"/>
      <c r="Q270" s="225"/>
      <c r="R270" s="182" t="str">
        <f ca="1">IF(ISERROR($V270),"",OFFSET('Smelter Look-up'!$C$4,$V270-4,0)&amp;"")</f>
        <v>Abington Reldan Metals, LLC</v>
      </c>
      <c r="S270" s="181" t="str">
        <f t="shared" ca="1" si="39"/>
        <v>US</v>
      </c>
      <c r="T270" s="181" t="str">
        <f ca="1">IF(B270="","",IF(ISERROR(MATCH($J270,SorP!$B$1:$B$6279,0)),"",INDIRECT("'SorP'!$A$"&amp;MATCH($S270&amp;$J270,SorP!C:C,0))))</f>
        <v>US-PA</v>
      </c>
      <c r="U270" s="201"/>
      <c r="V270" s="226">
        <f>IF(C270="",NA(),IF(OR(C270="Smelter not listed",C270="Smelter not yet identified"),MATCH($B270&amp;$D270,'Smelter Look-up'!$J:$J,0),MATCH($B270&amp;$C270,'Smelter Look-up'!$J:$J,0)))</f>
        <v>7</v>
      </c>
      <c r="X270" s="227">
        <f t="shared" si="40"/>
        <v>0</v>
      </c>
      <c r="AB270" s="228" t="str">
        <f t="shared" si="41"/>
        <v>GoldAbington Reldan Metals, LLC</v>
      </c>
    </row>
    <row r="271" spans="1:28" s="227" customFormat="1" ht="89.25">
      <c r="A271" s="181" t="s">
        <v>2448</v>
      </c>
      <c r="B271" s="182" t="s">
        <v>1128</v>
      </c>
      <c r="C271" s="186" t="s">
        <v>2447</v>
      </c>
      <c r="D271" s="230"/>
      <c r="E271" s="182" t="s">
        <v>879</v>
      </c>
      <c r="F271" s="182" t="s">
        <v>2448</v>
      </c>
      <c r="G271" s="182" t="s">
        <v>13240</v>
      </c>
      <c r="H271" s="183">
        <v>0</v>
      </c>
      <c r="I271" s="184" t="s">
        <v>2538</v>
      </c>
      <c r="J271" s="184" t="s">
        <v>9946</v>
      </c>
      <c r="K271" s="224"/>
      <c r="L271" s="224"/>
      <c r="M271" s="224"/>
      <c r="N271" s="224"/>
      <c r="O271" s="224"/>
      <c r="P271" s="185"/>
      <c r="Q271" s="225" t="s">
        <v>15815</v>
      </c>
      <c r="R271" s="182" t="str">
        <f ca="1">IF(ISERROR($V271),"",OFFSET('Smelter Look-up'!$C$4,$V271-4,0)&amp;"")</f>
        <v>Unecha Refractory metals plant</v>
      </c>
      <c r="S271" s="181" t="str">
        <f t="shared" ca="1" si="39"/>
        <v>RU</v>
      </c>
      <c r="T271" s="181" t="str">
        <f ca="1">IF(B271="","",IF(ISERROR(MATCH($J271,SorP!$B$1:$B$6279,0)),"",INDIRECT("'SorP'!$A$"&amp;MATCH($S271&amp;$J271,SorP!C:C,0))))</f>
        <v>RU-BRY</v>
      </c>
      <c r="U271" s="201"/>
      <c r="V271" s="226">
        <f>IF(C271="",NA(),IF(OR(C271="Smelter not listed",C271="Smelter not yet identified"),MATCH($B271&amp;$D271,'Smelter Look-up'!$J:$J,0),MATCH($B271&amp;$C271,'Smelter Look-up'!$J:$J,0)))</f>
        <v>629</v>
      </c>
      <c r="X271" s="227">
        <f t="shared" si="40"/>
        <v>0</v>
      </c>
      <c r="AB271" s="228" t="str">
        <f t="shared" si="41"/>
        <v>TungstenUnecha Refractory metals plant</v>
      </c>
    </row>
    <row r="272" spans="1:28" s="227" customFormat="1" ht="25.5">
      <c r="A272" s="181" t="s">
        <v>2531</v>
      </c>
      <c r="B272" s="182" t="s">
        <v>1126</v>
      </c>
      <c r="C272" s="186" t="s">
        <v>2530</v>
      </c>
      <c r="D272" s="230"/>
      <c r="E272" s="182" t="s">
        <v>1092</v>
      </c>
      <c r="F272" s="182" t="s">
        <v>2531</v>
      </c>
      <c r="G272" s="182" t="s">
        <v>13240</v>
      </c>
      <c r="H272" s="183">
        <v>0</v>
      </c>
      <c r="I272" s="184" t="s">
        <v>2540</v>
      </c>
      <c r="J272" s="184" t="s">
        <v>1674</v>
      </c>
      <c r="K272" s="224"/>
      <c r="L272" s="224"/>
      <c r="M272" s="224"/>
      <c r="N272" s="224"/>
      <c r="O272" s="224"/>
      <c r="P272" s="185"/>
      <c r="Q272" s="225"/>
      <c r="R272" s="182" t="str">
        <f ca="1">IF(ISERROR($V272),"",OFFSET('Smelter Look-up'!$C$4,$V272-4,0)&amp;"")</f>
        <v>Super Ligas</v>
      </c>
      <c r="S272" s="181" t="str">
        <f t="shared" ca="1" si="39"/>
        <v>BR</v>
      </c>
      <c r="T272" s="181" t="str">
        <f ca="1">IF(B272="","",IF(ISERROR(MATCH($J272,SorP!$B$1:$B$6279,0)),"",INDIRECT("'SorP'!$A$"&amp;MATCH($S272&amp;$J272,SorP!C:C,0))))</f>
        <v>BR-SP</v>
      </c>
      <c r="U272" s="201"/>
      <c r="V272" s="226">
        <f>IF(C272="",NA(),IF(OR(C272="Smelter not listed",C272="Smelter not yet identified"),MATCH($B272&amp;$D272,'Smelter Look-up'!$J:$J,0),MATCH($B272&amp;$C272,'Smelter Look-up'!$J:$J,0)))</f>
        <v>523</v>
      </c>
      <c r="X272" s="227">
        <f t="shared" si="40"/>
        <v>0</v>
      </c>
      <c r="AB272" s="228" t="str">
        <f t="shared" si="41"/>
        <v>TinSuper Ligas</v>
      </c>
    </row>
    <row r="273" spans="1:28" s="227" customFormat="1" ht="51">
      <c r="A273" s="181" t="s">
        <v>15998</v>
      </c>
      <c r="B273" s="182" t="s">
        <v>1126</v>
      </c>
      <c r="C273" s="186" t="s">
        <v>15999</v>
      </c>
      <c r="D273" s="230" t="s">
        <v>15999</v>
      </c>
      <c r="E273" s="182" t="s">
        <v>1101</v>
      </c>
      <c r="F273" s="182" t="s">
        <v>15998</v>
      </c>
      <c r="G273" s="182" t="s">
        <v>15883</v>
      </c>
      <c r="H273" s="183">
        <v>0</v>
      </c>
      <c r="I273" s="184" t="s">
        <v>16000</v>
      </c>
      <c r="J273" s="184" t="s">
        <v>16001</v>
      </c>
      <c r="K273" s="224"/>
      <c r="L273" s="224"/>
      <c r="M273" s="224"/>
      <c r="N273" s="224"/>
      <c r="O273" s="224"/>
      <c r="P273" s="185"/>
      <c r="Q273" s="225" t="s">
        <v>15907</v>
      </c>
      <c r="R273" s="182" t="str">
        <f ca="1">IF(ISERROR($V273),"",OFFSET('Smelter Look-up'!$C$4,$V273-4,0)&amp;"")</f>
        <v/>
      </c>
      <c r="S273" s="181" t="str">
        <f t="shared" ca="1" si="39"/>
        <v>ID</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si="40"/>
        <v>0</v>
      </c>
      <c r="AB273" s="228" t="str">
        <f t="shared" si="41"/>
        <v>TinPT O.M. Indonesia</v>
      </c>
    </row>
    <row r="274" spans="1:28" s="227" customFormat="1" ht="25.5">
      <c r="A274" s="181" t="s">
        <v>2259</v>
      </c>
      <c r="B274" s="182" t="s">
        <v>1125</v>
      </c>
      <c r="C274" s="186" t="s">
        <v>2258</v>
      </c>
      <c r="D274" s="230"/>
      <c r="E274" s="182" t="s">
        <v>1100</v>
      </c>
      <c r="F274" s="182" t="s">
        <v>2259</v>
      </c>
      <c r="G274" s="182" t="s">
        <v>13240</v>
      </c>
      <c r="H274" s="183">
        <v>0</v>
      </c>
      <c r="I274" s="184" t="s">
        <v>2260</v>
      </c>
      <c r="J274" s="184" t="s">
        <v>4883</v>
      </c>
      <c r="K274" s="224"/>
      <c r="L274" s="224"/>
      <c r="M274" s="224"/>
      <c r="N274" s="224"/>
      <c r="O274" s="224"/>
      <c r="P274" s="185"/>
      <c r="Q274" s="225" t="s">
        <v>15815</v>
      </c>
      <c r="R274" s="182" t="str">
        <f ca="1">IF(ISERROR($V274),"",OFFSET('Smelter Look-up'!$C$4,$V274-4,0)&amp;"")</f>
        <v>SAAMP</v>
      </c>
      <c r="S274" s="181" t="str">
        <f t="shared" ca="1" si="39"/>
        <v>FR</v>
      </c>
      <c r="T274" s="181" t="str">
        <f ca="1">IF(B274="","",IF(ISERROR(MATCH($J274,SorP!$B$1:$B$6279,0)),"",INDIRECT("'SorP'!$A$"&amp;MATCH($S274&amp;$J274,SorP!C:C,0))))</f>
        <v>FR-IDF</v>
      </c>
      <c r="U274" s="201"/>
      <c r="V274" s="226">
        <f>IF(C274="",NA(),IF(OR(C274="Smelter not listed",C274="Smelter not yet identified"),MATCH($B274&amp;$D274,'Smelter Look-up'!$J:$J,0),MATCH($B274&amp;$C274,'Smelter Look-up'!$J:$J,0)))</f>
        <v>221</v>
      </c>
      <c r="X274" s="227">
        <f t="shared" si="40"/>
        <v>0</v>
      </c>
      <c r="AB274" s="228" t="str">
        <f t="shared" si="41"/>
        <v>GoldSAAMP</v>
      </c>
    </row>
    <row r="275" spans="1:28" s="227" customFormat="1" ht="38.25">
      <c r="A275" s="181" t="s">
        <v>2440</v>
      </c>
      <c r="B275" s="182" t="s">
        <v>1125</v>
      </c>
      <c r="C275" s="186" t="s">
        <v>2439</v>
      </c>
      <c r="D275" s="230"/>
      <c r="E275" s="182" t="s">
        <v>1087</v>
      </c>
      <c r="F275" s="182" t="s">
        <v>2440</v>
      </c>
      <c r="G275" s="182" t="s">
        <v>13240</v>
      </c>
      <c r="H275" s="183">
        <v>0</v>
      </c>
      <c r="I275" s="184" t="s">
        <v>2450</v>
      </c>
      <c r="J275" s="184" t="s">
        <v>2450</v>
      </c>
      <c r="K275" s="224"/>
      <c r="L275" s="224"/>
      <c r="M275" s="224"/>
      <c r="N275" s="224"/>
      <c r="O275" s="224"/>
      <c r="P275" s="185"/>
      <c r="Q275" s="225" t="s">
        <v>15815</v>
      </c>
      <c r="R275" s="182" t="str">
        <f ca="1">IF(ISERROR($V275),"",OFFSET('Smelter Look-up'!$C$4,$V275-4,0)&amp;"")</f>
        <v>L'Orfebre S.A.</v>
      </c>
      <c r="S275" s="181" t="str">
        <f t="shared" ca="1" si="39"/>
        <v>AD</v>
      </c>
      <c r="T275" s="181" t="str">
        <f ca="1">IF(B275="","",IF(ISERROR(MATCH($J275,SorP!$B$1:$B$6279,0)),"",INDIRECT("'SorP'!$A$"&amp;MATCH($S275&amp;$J275,SorP!C:C,0))))</f>
        <v>AD-07</v>
      </c>
      <c r="U275" s="201"/>
      <c r="V275" s="226">
        <f>IF(C275="",NA(),IF(OR(C275="Smelter not listed",C275="Smelter not yet identified"),MATCH($B275&amp;$D275,'Smelter Look-up'!$J:$J,0),MATCH($B275&amp;$C275,'Smelter Look-up'!$J:$J,0)))</f>
        <v>156</v>
      </c>
      <c r="X275" s="227">
        <f t="shared" si="40"/>
        <v>0</v>
      </c>
      <c r="AB275" s="228" t="str">
        <f t="shared" si="41"/>
        <v>GoldL'Orfebre S.A.</v>
      </c>
    </row>
    <row r="276" spans="1:28" s="227" customFormat="1" ht="25.5">
      <c r="A276" s="181" t="s">
        <v>13782</v>
      </c>
      <c r="B276" s="182" t="s">
        <v>1125</v>
      </c>
      <c r="C276" s="186" t="s">
        <v>13781</v>
      </c>
      <c r="D276" s="230"/>
      <c r="E276" s="182" t="s">
        <v>1103</v>
      </c>
      <c r="F276" s="182" t="s">
        <v>13782</v>
      </c>
      <c r="G276" s="182" t="s">
        <v>13240</v>
      </c>
      <c r="H276" s="183">
        <v>0</v>
      </c>
      <c r="I276" s="184" t="s">
        <v>13823</v>
      </c>
      <c r="J276" s="184" t="s">
        <v>6423</v>
      </c>
      <c r="K276" s="224"/>
      <c r="L276" s="224"/>
      <c r="M276" s="224"/>
      <c r="N276" s="224"/>
      <c r="O276" s="224"/>
      <c r="P276" s="185"/>
      <c r="Q276" s="225" t="s">
        <v>15815</v>
      </c>
      <c r="R276" s="182" t="str">
        <f ca="1">IF(ISERROR($V276),"",OFFSET('Smelter Look-up'!$C$4,$V276-4,0)&amp;"")</f>
        <v>8853 S.p.A.</v>
      </c>
      <c r="S276" s="181" t="str">
        <f t="shared" ca="1" si="39"/>
        <v>IT</v>
      </c>
      <c r="T276" s="181" t="str">
        <f ca="1">IF(B276="","",IF(ISERROR(MATCH($J276,SorP!$B$1:$B$6279,0)),"",INDIRECT("'SorP'!$A$"&amp;MATCH($S276&amp;$J276,SorP!C:C,0))))</f>
        <v>IT-25</v>
      </c>
      <c r="U276" s="201"/>
      <c r="V276" s="226">
        <f>IF(C276="",NA(),IF(OR(C276="Smelter not listed",C276="Smelter not yet identified"),MATCH($B276&amp;$D276,'Smelter Look-up'!$J:$J,0),MATCH($B276&amp;$C276,'Smelter Look-up'!$J:$J,0)))</f>
        <v>5</v>
      </c>
      <c r="X276" s="227">
        <f t="shared" si="40"/>
        <v>0</v>
      </c>
      <c r="AB276" s="228" t="str">
        <f t="shared" si="41"/>
        <v>Gold8853 S.p.A.</v>
      </c>
    </row>
    <row r="277" spans="1:28" s="227" customFormat="1" ht="25.5">
      <c r="A277" s="181" t="s">
        <v>2503</v>
      </c>
      <c r="B277" s="182" t="s">
        <v>1125</v>
      </c>
      <c r="C277" s="186" t="s">
        <v>2502</v>
      </c>
      <c r="D277" s="230"/>
      <c r="E277" s="182" t="s">
        <v>1103</v>
      </c>
      <c r="F277" s="182" t="s">
        <v>2503</v>
      </c>
      <c r="G277" s="182" t="s">
        <v>13240</v>
      </c>
      <c r="H277" s="183">
        <v>0</v>
      </c>
      <c r="I277" s="184" t="s">
        <v>1569</v>
      </c>
      <c r="J277" s="184" t="s">
        <v>6470</v>
      </c>
      <c r="K277" s="224"/>
      <c r="L277" s="224"/>
      <c r="M277" s="224"/>
      <c r="N277" s="224"/>
      <c r="O277" s="224"/>
      <c r="P277" s="185"/>
      <c r="Q277" s="225" t="s">
        <v>15815</v>
      </c>
      <c r="R277" s="182" t="str">
        <f ca="1">IF(ISERROR($V277),"",OFFSET('Smelter Look-up'!$C$4,$V277-4,0)&amp;"")</f>
        <v>Italpreziosi</v>
      </c>
      <c r="S277" s="181" t="str">
        <f t="shared" ca="1" si="39"/>
        <v>IT</v>
      </c>
      <c r="T277" s="181" t="str">
        <f ca="1">IF(B277="","",IF(ISERROR(MATCH($J277,SorP!$B$1:$B$6279,0)),"",INDIRECT("'SorP'!$A$"&amp;MATCH($S277&amp;$J277,SorP!C:C,0))))</f>
        <v>IT-52</v>
      </c>
      <c r="U277" s="201"/>
      <c r="V277" s="226">
        <f>IF(C277="",NA(),IF(OR(C277="Smelter not listed",C277="Smelter not yet identified"),MATCH($B277&amp;$D277,'Smelter Look-up'!$J:$J,0),MATCH($B277&amp;$C277,'Smelter Look-up'!$J:$J,0)))</f>
        <v>120</v>
      </c>
      <c r="X277" s="227">
        <f t="shared" si="40"/>
        <v>0</v>
      </c>
      <c r="AB277" s="228" t="str">
        <f t="shared" si="41"/>
        <v>GoldItalpreziosi</v>
      </c>
    </row>
    <row r="278" spans="1:28" s="227" customFormat="1" ht="51">
      <c r="A278" s="181" t="s">
        <v>1815</v>
      </c>
      <c r="B278" s="182" t="s">
        <v>1126</v>
      </c>
      <c r="C278" s="186" t="s">
        <v>12932</v>
      </c>
      <c r="D278" s="230"/>
      <c r="E278" s="182" t="s">
        <v>1091</v>
      </c>
      <c r="F278" s="182" t="s">
        <v>1815</v>
      </c>
      <c r="G278" s="182" t="s">
        <v>13240</v>
      </c>
      <c r="H278" s="183">
        <v>0</v>
      </c>
      <c r="I278" s="184" t="s">
        <v>1816</v>
      </c>
      <c r="J278" s="184" t="s">
        <v>3153</v>
      </c>
      <c r="K278" s="224"/>
      <c r="L278" s="224"/>
      <c r="M278" s="224"/>
      <c r="N278" s="224"/>
      <c r="O278" s="224" t="s">
        <v>15912</v>
      </c>
      <c r="P278" s="185" t="s">
        <v>489</v>
      </c>
      <c r="Q278" s="225" t="s">
        <v>15913</v>
      </c>
      <c r="R278" s="182" t="str">
        <f ca="1">IF(ISERROR($V278),"",OFFSET('Smelter Look-up'!$C$4,$V278-4,0)&amp;"")</f>
        <v>Aurubis Beerse</v>
      </c>
      <c r="S278" s="181" t="str">
        <f t="shared" ca="1" si="39"/>
        <v>BE</v>
      </c>
      <c r="T278" s="181" t="str">
        <f ca="1">IF(B278="","",IF(ISERROR(MATCH($J278,SorP!$B$1:$B$6279,0)),"",INDIRECT("'SorP'!$A$"&amp;MATCH($S278&amp;$J278,SorP!C:C,0))))</f>
        <v>BE-VAN</v>
      </c>
      <c r="U278" s="201"/>
      <c r="V278" s="226">
        <f>IF(C278="",NA(),IF(OR(C278="Smelter not listed",C278="Smelter not yet identified"),MATCH($B278&amp;$D278,'Smelter Look-up'!$J:$J,0),MATCH($B278&amp;$C278,'Smelter Look-up'!$J:$J,0)))</f>
        <v>463</v>
      </c>
      <c r="X278" s="227">
        <f t="shared" si="40"/>
        <v>0</v>
      </c>
      <c r="AB278" s="228" t="str">
        <f t="shared" si="41"/>
        <v>TinMetallo Belgium N.V.</v>
      </c>
    </row>
    <row r="279" spans="1:28" s="227" customFormat="1" ht="38.25">
      <c r="A279" s="181" t="s">
        <v>1817</v>
      </c>
      <c r="B279" s="182" t="s">
        <v>1126</v>
      </c>
      <c r="C279" s="186" t="s">
        <v>12933</v>
      </c>
      <c r="D279" s="230"/>
      <c r="E279" s="182" t="s">
        <v>1098</v>
      </c>
      <c r="F279" s="182" t="s">
        <v>1817</v>
      </c>
      <c r="G279" s="182" t="s">
        <v>13240</v>
      </c>
      <c r="H279" s="183">
        <v>0</v>
      </c>
      <c r="I279" s="184" t="s">
        <v>1818</v>
      </c>
      <c r="J279" s="184" t="s">
        <v>12412</v>
      </c>
      <c r="K279" s="224"/>
      <c r="L279" s="224"/>
      <c r="M279" s="224"/>
      <c r="N279" s="224"/>
      <c r="O279" s="224"/>
      <c r="P279" s="185"/>
      <c r="Q279" s="225" t="s">
        <v>15815</v>
      </c>
      <c r="R279" s="182" t="str">
        <f ca="1">IF(ISERROR($V279),"",OFFSET('Smelter Look-up'!$C$4,$V279-4,0)&amp;"")</f>
        <v>Aurubis Berango</v>
      </c>
      <c r="S279" s="181" t="str">
        <f t="shared" ca="1" si="39"/>
        <v>ES</v>
      </c>
      <c r="T279" s="181" t="str">
        <f ca="1">IF(B279="","",IF(ISERROR(MATCH($J279,SorP!$B$1:$B$6279,0)),"",INDIRECT("'SorP'!$A$"&amp;MATCH($S279&amp;$J279,SorP!C:C,0))))</f>
        <v>ES-BI</v>
      </c>
      <c r="U279" s="201"/>
      <c r="V279" s="226">
        <f>IF(C279="",NA(),IF(OR(C279="Smelter not listed",C279="Smelter not yet identified"),MATCH($B279&amp;$D279,'Smelter Look-up'!$J:$J,0),MATCH($B279&amp;$C279,'Smelter Look-up'!$J:$J,0)))</f>
        <v>464</v>
      </c>
      <c r="X279" s="227">
        <f t="shared" si="40"/>
        <v>0</v>
      </c>
      <c r="AB279" s="228" t="str">
        <f t="shared" si="41"/>
        <v>TinMetallo Spain S.L.U.</v>
      </c>
    </row>
    <row r="280" spans="1:28" s="227" customFormat="1" ht="51">
      <c r="A280" s="181" t="s">
        <v>15544</v>
      </c>
      <c r="B280" s="182" t="s">
        <v>1126</v>
      </c>
      <c r="C280" s="186" t="s">
        <v>15543</v>
      </c>
      <c r="D280" s="230"/>
      <c r="E280" s="182" t="s">
        <v>1101</v>
      </c>
      <c r="F280" s="182" t="s">
        <v>15544</v>
      </c>
      <c r="G280" s="182" t="s">
        <v>13240</v>
      </c>
      <c r="H280" s="183" t="s">
        <v>15802</v>
      </c>
      <c r="I280" s="184" t="s">
        <v>15802</v>
      </c>
      <c r="J280" s="184" t="s">
        <v>15802</v>
      </c>
      <c r="K280" s="224"/>
      <c r="L280" s="224"/>
      <c r="M280" s="224"/>
      <c r="N280" s="224"/>
      <c r="O280" s="224"/>
      <c r="P280" s="185"/>
      <c r="Q280" s="225"/>
      <c r="R280" s="182" t="str">
        <f ca="1">IF(ISERROR($V280),"",OFFSET('Smelter Look-up'!$C$4,$V280-4,0)&amp;"")</f>
        <v>PT Bangka Prima Tin</v>
      </c>
      <c r="S280" s="181" t="str">
        <f t="shared" ca="1" si="39"/>
        <v>ID</v>
      </c>
      <c r="T280" s="181" t="str">
        <f ca="1">IF(B280="","",IF(ISERROR(MATCH($J280,SorP!$B$1:$B$6279,0)),"",INDIRECT("'SorP'!$A$"&amp;MATCH($S280&amp;$J280,SorP!C:C,0))))</f>
        <v/>
      </c>
      <c r="U280" s="201"/>
      <c r="V280" s="226">
        <f>IF(C280="",NA(),IF(OR(C280="Smelter not listed",C280="Smelter not yet identified"),MATCH($B280&amp;$D280,'Smelter Look-up'!$J:$J,0),MATCH($B280&amp;$C280,'Smelter Look-up'!$J:$J,0)))</f>
        <v>491</v>
      </c>
      <c r="X280" s="227">
        <f t="shared" si="40"/>
        <v>0</v>
      </c>
      <c r="AB280" s="228" t="str">
        <f t="shared" si="41"/>
        <v>TinPT Bangka Prima Tin</v>
      </c>
    </row>
    <row r="281" spans="1:28" s="227" customFormat="1" ht="63.75">
      <c r="A281" s="181" t="s">
        <v>15825</v>
      </c>
      <c r="B281" s="182" t="s">
        <v>1125</v>
      </c>
      <c r="C281" s="186" t="s">
        <v>15826</v>
      </c>
      <c r="D281" s="230"/>
      <c r="E281" s="182" t="s">
        <v>1097</v>
      </c>
      <c r="F281" s="182" t="s">
        <v>15825</v>
      </c>
      <c r="G281" s="182" t="s">
        <v>13240</v>
      </c>
      <c r="H281" s="183">
        <v>0</v>
      </c>
      <c r="I281" s="184" t="s">
        <v>15827</v>
      </c>
      <c r="J281" s="184" t="s">
        <v>4233</v>
      </c>
      <c r="K281" s="224"/>
      <c r="L281" s="224"/>
      <c r="M281" s="224"/>
      <c r="N281" s="224"/>
      <c r="O281" s="224"/>
      <c r="P281" s="185"/>
      <c r="Q281" s="225" t="s">
        <v>15815</v>
      </c>
      <c r="R281" s="182" t="str">
        <f ca="1">IF(ISERROR($V281),"",OFFSET('Smelter Look-up'!$C$4,$V281-4,0)&amp;"")</f>
        <v/>
      </c>
      <c r="S281" s="181" t="str">
        <f t="shared" ca="1" si="39"/>
        <v>DE</v>
      </c>
      <c r="T281" s="181" t="str">
        <f ca="1">IF(B281="","",IF(ISERROR(MATCH($J281,SorP!$B$1:$B$6279,0)),"",INDIRECT("'SorP'!$A$"&amp;MATCH($S281&amp;$J281,SorP!C:C,0))))</f>
        <v>DE-SN</v>
      </c>
      <c r="U281" s="201"/>
      <c r="V281" s="226" t="e">
        <f>IF(C281="",NA(),IF(OR(C281="Smelter not listed",C281="Smelter not yet identified"),MATCH($B281&amp;$D281,'Smelter Look-up'!$J:$J,0),MATCH($B281&amp;$C281,'Smelter Look-up'!$J:$J,0)))</f>
        <v>#N/A</v>
      </c>
      <c r="X281" s="227">
        <f t="shared" si="40"/>
        <v>0</v>
      </c>
      <c r="AB281" s="228" t="str">
        <f t="shared" si="41"/>
        <v>GoldSAXONIA Edelmetalle GmbH</v>
      </c>
    </row>
    <row r="282" spans="1:28" s="227" customFormat="1" ht="63.75">
      <c r="A282" s="181" t="s">
        <v>2204</v>
      </c>
      <c r="B282" s="182" t="s">
        <v>1125</v>
      </c>
      <c r="C282" s="186" t="s">
        <v>2202</v>
      </c>
      <c r="D282" s="230"/>
      <c r="E282" s="182" t="s">
        <v>1097</v>
      </c>
      <c r="F282" s="182" t="s">
        <v>2204</v>
      </c>
      <c r="G282" s="182" t="s">
        <v>13240</v>
      </c>
      <c r="H282" s="183">
        <v>0</v>
      </c>
      <c r="I282" s="184" t="s">
        <v>1542</v>
      </c>
      <c r="J282" s="184" t="s">
        <v>1543</v>
      </c>
      <c r="K282" s="224"/>
      <c r="L282" s="224"/>
      <c r="M282" s="224"/>
      <c r="N282" s="224"/>
      <c r="O282" s="224"/>
      <c r="P282" s="185"/>
      <c r="Q282" s="225" t="s">
        <v>15815</v>
      </c>
      <c r="R282" s="182" t="str">
        <f ca="1">IF(ISERROR($V282),"",OFFSET('Smelter Look-up'!$C$4,$V282-4,0)&amp;"")</f>
        <v>WIELAND Edelmetalle GmbH</v>
      </c>
      <c r="S282" s="181" t="str">
        <f t="shared" ca="1" si="39"/>
        <v>DE</v>
      </c>
      <c r="T282" s="181" t="str">
        <f ca="1">IF(B282="","",IF(ISERROR(MATCH($J282,SorP!$B$1:$B$6279,0)),"",INDIRECT("'SorP'!$A$"&amp;MATCH($S282&amp;$J282,SorP!C:C,0))))</f>
        <v>DE-BW</v>
      </c>
      <c r="U282" s="201"/>
      <c r="V282" s="226">
        <f>IF(C282="",NA(),IF(OR(C282="Smelter not listed",C282="Smelter not yet identified"),MATCH($B282&amp;$D282,'Smelter Look-up'!$J:$J,0),MATCH($B282&amp;$C282,'Smelter Look-up'!$J:$J,0)))</f>
        <v>298</v>
      </c>
      <c r="X282" s="227">
        <f t="shared" si="40"/>
        <v>0</v>
      </c>
      <c r="AB282" s="228" t="str">
        <f t="shared" si="41"/>
        <v>GoldWIELAND Edelmetalle GmbH</v>
      </c>
    </row>
    <row r="283" spans="1:28" s="227" customFormat="1" ht="127.5">
      <c r="A283" s="181" t="s">
        <v>2205</v>
      </c>
      <c r="B283" s="182" t="s">
        <v>1125</v>
      </c>
      <c r="C283" s="186" t="s">
        <v>12435</v>
      </c>
      <c r="D283" s="230"/>
      <c r="E283" s="182" t="s">
        <v>1090</v>
      </c>
      <c r="F283" s="182" t="s">
        <v>2205</v>
      </c>
      <c r="G283" s="182" t="s">
        <v>13240</v>
      </c>
      <c r="H283" s="183">
        <v>0</v>
      </c>
      <c r="I283" s="184" t="s">
        <v>2206</v>
      </c>
      <c r="J283" s="184" t="s">
        <v>2804</v>
      </c>
      <c r="K283" s="224"/>
      <c r="L283" s="224"/>
      <c r="M283" s="224"/>
      <c r="N283" s="224"/>
      <c r="O283" s="224"/>
      <c r="P283" s="185"/>
      <c r="Q283" s="225" t="s">
        <v>15815</v>
      </c>
      <c r="R283" s="182" t="str">
        <f ca="1">IF(ISERROR($V283),"",OFFSET('Smelter Look-up'!$C$4,$V283-4,0)&amp;"")</f>
        <v>Ogussa Osterreichische Gold- und Silber-Scheideanstalt GmbH</v>
      </c>
      <c r="S283" s="181" t="str">
        <f t="shared" ca="1" si="39"/>
        <v>AT</v>
      </c>
      <c r="T283" s="181" t="str">
        <f ca="1">IF(B283="","",IF(ISERROR(MATCH($J283,SorP!$B$1:$B$6279,0)),"",INDIRECT("'SorP'!$A$"&amp;MATCH($S283&amp;$J283,SorP!C:C,0))))</f>
        <v>AT-9</v>
      </c>
      <c r="U283" s="201"/>
      <c r="V283" s="226">
        <f>IF(C283="",NA(),IF(OR(C283="Smelter not listed",C283="Smelter not yet identified"),MATCH($B283&amp;$D283,'Smelter Look-up'!$J:$J,0),MATCH($B283&amp;$C283,'Smelter Look-up'!$J:$J,0)))</f>
        <v>196</v>
      </c>
      <c r="X283" s="227">
        <f t="shared" si="40"/>
        <v>0</v>
      </c>
      <c r="AB283" s="228" t="str">
        <f t="shared" si="41"/>
        <v>GoldOgussa Osterreichische Gold- und Silber-Scheideanstalt GmbH</v>
      </c>
    </row>
    <row r="284" spans="1:28" s="227" customFormat="1" ht="51">
      <c r="A284" s="181" t="s">
        <v>15495</v>
      </c>
      <c r="B284" s="182" t="s">
        <v>1126</v>
      </c>
      <c r="C284" s="186" t="s">
        <v>15494</v>
      </c>
      <c r="D284" s="230"/>
      <c r="E284" s="182" t="s">
        <v>1101</v>
      </c>
      <c r="F284" s="182" t="s">
        <v>15495</v>
      </c>
      <c r="G284" s="182" t="s">
        <v>13240</v>
      </c>
      <c r="H284" s="183" t="s">
        <v>15802</v>
      </c>
      <c r="I284" s="184" t="s">
        <v>15550</v>
      </c>
      <c r="J284" s="184" t="s">
        <v>12852</v>
      </c>
      <c r="K284" s="224" t="s">
        <v>15802</v>
      </c>
      <c r="L284" s="224" t="s">
        <v>15802</v>
      </c>
      <c r="M284" s="224" t="s">
        <v>15896</v>
      </c>
      <c r="N284" s="224" t="s">
        <v>15802</v>
      </c>
      <c r="O284" s="224" t="s">
        <v>15886</v>
      </c>
      <c r="P284" s="185" t="s">
        <v>489</v>
      </c>
      <c r="Q284" s="225" t="s">
        <v>15802</v>
      </c>
      <c r="R284" s="182" t="str">
        <f ca="1">IF(ISERROR($V284),"",OFFSET('Smelter Look-up'!$C$4,$V284-4,0)&amp;"")</f>
        <v>PT Sukses Inti Makmur</v>
      </c>
      <c r="S284" s="181" t="str">
        <f t="shared" ca="1" si="39"/>
        <v>ID</v>
      </c>
      <c r="T284" s="181" t="str">
        <f ca="1">IF(B284="","",IF(ISERROR(MATCH($J284,SorP!$B$1:$B$6279,0)),"",INDIRECT("'SorP'!$A$"&amp;MATCH($S284&amp;$J284,SorP!C:C,0))))</f>
        <v>ID-BB</v>
      </c>
      <c r="U284" s="201"/>
      <c r="V284" s="226">
        <f>IF(C284="",NA(),IF(OR(C284="Smelter not listed",C284="Smelter not yet identified"),MATCH($B284&amp;$D284,'Smelter Look-up'!$J:$J,0),MATCH($B284&amp;$C284,'Smelter Look-up'!$J:$J,0)))</f>
        <v>510</v>
      </c>
      <c r="X284" s="227">
        <f t="shared" si="40"/>
        <v>0</v>
      </c>
      <c r="AB284" s="228" t="str">
        <f t="shared" si="41"/>
        <v>TinPT Sukses Inti Makmur</v>
      </c>
    </row>
    <row r="285" spans="1:28" s="227" customFormat="1" ht="102">
      <c r="A285" s="181" t="s">
        <v>2273</v>
      </c>
      <c r="B285" s="182" t="s">
        <v>1128</v>
      </c>
      <c r="C285" s="186" t="s">
        <v>2343</v>
      </c>
      <c r="D285" s="230"/>
      <c r="E285" s="182" t="s">
        <v>877</v>
      </c>
      <c r="F285" s="182" t="s">
        <v>2273</v>
      </c>
      <c r="G285" s="182" t="s">
        <v>13240</v>
      </c>
      <c r="H285" s="183">
        <v>0</v>
      </c>
      <c r="I285" s="184" t="s">
        <v>2274</v>
      </c>
      <c r="J285" s="184" t="s">
        <v>2275</v>
      </c>
      <c r="K285" s="224"/>
      <c r="L285" s="224"/>
      <c r="M285" s="224"/>
      <c r="N285" s="224"/>
      <c r="O285" s="224"/>
      <c r="P285" s="185"/>
      <c r="Q285" s="225" t="s">
        <v>15815</v>
      </c>
      <c r="R285" s="182" t="str">
        <f ca="1">IF(ISERROR($V285),"",OFFSET('Smelter Look-up'!$C$4,$V285-4,0)&amp;"")</f>
        <v>Philippine Chuangxin Industrial Co., Inc.</v>
      </c>
      <c r="S285" s="181" t="str">
        <f t="shared" ca="1" si="39"/>
        <v>PH</v>
      </c>
      <c r="T285" s="181" t="str">
        <f ca="1">IF(B285="","",IF(ISERROR(MATCH($J285,SorP!$B$1:$B$6279,0)),"",INDIRECT("'SorP'!$A$"&amp;MATCH($S285&amp;$J285,SorP!C:C,0))))</f>
        <v>PH-BUL</v>
      </c>
      <c r="U285" s="201"/>
      <c r="V285" s="226">
        <f>IF(C285="",NA(),IF(OR(C285="Smelter not listed",C285="Smelter not yet identified"),MATCH($B285&amp;$D285,'Smelter Look-up'!$J:$J,0),MATCH($B285&amp;$C285,'Smelter Look-up'!$J:$J,0)))</f>
        <v>626</v>
      </c>
      <c r="X285" s="227">
        <f t="shared" si="40"/>
        <v>0</v>
      </c>
      <c r="AB285" s="228" t="str">
        <f t="shared" si="41"/>
        <v>TungstenPhilippine Chuangxin Industrial Co., Inc.</v>
      </c>
    </row>
    <row r="286" spans="1:28" s="227" customFormat="1" ht="51">
      <c r="A286" s="181" t="s">
        <v>16002</v>
      </c>
      <c r="B286" s="182" t="s">
        <v>1126</v>
      </c>
      <c r="C286" s="186" t="s">
        <v>16003</v>
      </c>
      <c r="D286" s="230" t="s">
        <v>16003</v>
      </c>
      <c r="E286" s="182" t="s">
        <v>1101</v>
      </c>
      <c r="F286" s="182" t="s">
        <v>16002</v>
      </c>
      <c r="G286" s="182" t="s">
        <v>15883</v>
      </c>
      <c r="H286" s="183">
        <v>0</v>
      </c>
      <c r="I286" s="184" t="s">
        <v>1767</v>
      </c>
      <c r="J286" s="184" t="s">
        <v>15884</v>
      </c>
      <c r="K286" s="224"/>
      <c r="L286" s="224"/>
      <c r="M286" s="224"/>
      <c r="N286" s="224"/>
      <c r="O286" s="224"/>
      <c r="P286" s="185"/>
      <c r="Q286" s="225" t="s">
        <v>15907</v>
      </c>
      <c r="R286" s="182" t="str">
        <f ca="1">IF(ISERROR($V286),"",OFFSET('Smelter Look-up'!$C$4,$V286-4,0)&amp;"")</f>
        <v/>
      </c>
      <c r="S286" s="181" t="str">
        <f t="shared" ca="1" si="39"/>
        <v>ID</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si="40"/>
        <v>0</v>
      </c>
      <c r="AB286" s="228" t="str">
        <f t="shared" si="41"/>
        <v>TinPT Kijang Jaya Mandiri</v>
      </c>
    </row>
    <row r="287" spans="1:28" s="227" customFormat="1" ht="140.25">
      <c r="A287" s="181" t="s">
        <v>15873</v>
      </c>
      <c r="B287" s="182" t="s">
        <v>1128</v>
      </c>
      <c r="C287" s="186" t="s">
        <v>15874</v>
      </c>
      <c r="D287" s="230"/>
      <c r="E287" s="182" t="s">
        <v>1096</v>
      </c>
      <c r="F287" s="182" t="s">
        <v>15873</v>
      </c>
      <c r="G287" s="182" t="s">
        <v>13240</v>
      </c>
      <c r="H287" s="183">
        <v>0</v>
      </c>
      <c r="I287" s="184" t="s">
        <v>1773</v>
      </c>
      <c r="J287" s="184" t="s">
        <v>13619</v>
      </c>
      <c r="K287" s="224"/>
      <c r="L287" s="224"/>
      <c r="M287" s="224"/>
      <c r="N287" s="224"/>
      <c r="O287" s="224"/>
      <c r="P287" s="185"/>
      <c r="Q287" s="225" t="s">
        <v>15815</v>
      </c>
      <c r="R287" s="182" t="str">
        <f ca="1">IF(ISERROR($V287),"",OFFSET('Smelter Look-up'!$C$4,$V287-4,0)&amp;"")</f>
        <v/>
      </c>
      <c r="S287" s="181" t="str">
        <f t="shared" ca="1" si="39"/>
        <v>CN</v>
      </c>
      <c r="T287" s="181" t="str">
        <f ca="1">IF(B287="","",IF(ISERROR(MATCH($J287,SorP!$B$1:$B$6279,0)),"",INDIRECT("'SorP'!$A$"&amp;MATCH($S287&amp;$J287,SorP!C:C,0))))</f>
        <v>CN-JX</v>
      </c>
      <c r="U287" s="201"/>
      <c r="V287" s="226" t="e">
        <f>IF(C287="",NA(),IF(OR(C287="Smelter not listed",C287="Smelter not yet identified"),MATCH($B287&amp;$D287,'Smelter Look-up'!$J:$J,0),MATCH($B287&amp;$C287,'Smelter Look-up'!$J:$J,0)))</f>
        <v>#N/A</v>
      </c>
      <c r="X287" s="227">
        <f t="shared" si="40"/>
        <v>0</v>
      </c>
      <c r="AB287" s="228" t="str">
        <f t="shared" si="41"/>
        <v>TungstenXinfeng Huarui Tungsten &amp; Molybdenum New Material Co., Ltd.</v>
      </c>
    </row>
    <row r="288" spans="1:28" s="227" customFormat="1" ht="51">
      <c r="A288" s="181" t="s">
        <v>2267</v>
      </c>
      <c r="B288" s="182" t="s">
        <v>1128</v>
      </c>
      <c r="C288" s="186" t="s">
        <v>2266</v>
      </c>
      <c r="D288" s="230"/>
      <c r="E288" s="182" t="s">
        <v>1092</v>
      </c>
      <c r="F288" s="182" t="s">
        <v>2267</v>
      </c>
      <c r="G288" s="182" t="s">
        <v>13240</v>
      </c>
      <c r="H288" s="183">
        <v>0</v>
      </c>
      <c r="I288" s="184" t="s">
        <v>2268</v>
      </c>
      <c r="J288" s="184" t="s">
        <v>1674</v>
      </c>
      <c r="K288" s="224"/>
      <c r="L288" s="224"/>
      <c r="M288" s="224"/>
      <c r="N288" s="224"/>
      <c r="O288" s="224"/>
      <c r="P288" s="185"/>
      <c r="Q288" s="225" t="s">
        <v>15815</v>
      </c>
      <c r="R288" s="182" t="str">
        <f ca="1">IF(ISERROR($V288),"",OFFSET('Smelter Look-up'!$C$4,$V288-4,0)&amp;"")</f>
        <v>ACL Metais Eireli</v>
      </c>
      <c r="S288" s="181" t="str">
        <f t="shared" ca="1" si="39"/>
        <v>BR</v>
      </c>
      <c r="T288" s="181" t="str">
        <f ca="1">IF(B288="","",IF(ISERROR(MATCH($J288,SorP!$B$1:$B$6279,0)),"",INDIRECT("'SorP'!$A$"&amp;MATCH($S288&amp;$J288,SorP!C:C,0))))</f>
        <v>BR-SP</v>
      </c>
      <c r="U288" s="201"/>
      <c r="V288" s="226">
        <f>IF(C288="",NA(),IF(OR(C288="Smelter not listed",C288="Smelter not yet identified"),MATCH($B288&amp;$D288,'Smelter Look-up'!$J:$J,0),MATCH($B288&amp;$C288,'Smelter Look-up'!$J:$J,0)))</f>
        <v>559</v>
      </c>
      <c r="X288" s="227">
        <f t="shared" si="40"/>
        <v>0</v>
      </c>
      <c r="AB288" s="228" t="str">
        <f t="shared" si="41"/>
        <v>TungstenACL Metais Eireli</v>
      </c>
    </row>
    <row r="289" spans="1:28" s="227" customFormat="1" ht="89.25">
      <c r="A289" s="181" t="s">
        <v>15850</v>
      </c>
      <c r="B289" s="182" t="s">
        <v>1126</v>
      </c>
      <c r="C289" s="186" t="s">
        <v>15851</v>
      </c>
      <c r="D289" s="230"/>
      <c r="E289" s="182" t="s">
        <v>888</v>
      </c>
      <c r="F289" s="182" t="s">
        <v>15850</v>
      </c>
      <c r="G289" s="182" t="s">
        <v>13240</v>
      </c>
      <c r="H289" s="183">
        <v>0</v>
      </c>
      <c r="I289" s="184" t="s">
        <v>15852</v>
      </c>
      <c r="J289" s="184" t="s">
        <v>12134</v>
      </c>
      <c r="K289" s="224"/>
      <c r="L289" s="224"/>
      <c r="M289" s="224"/>
      <c r="N289" s="224"/>
      <c r="O289" s="224"/>
      <c r="P289" s="185"/>
      <c r="Q289" s="225" t="s">
        <v>15815</v>
      </c>
      <c r="R289" s="182" t="str">
        <f ca="1">IF(ISERROR($V289),"",OFFSET('Smelter Look-up'!$C$4,$V289-4,0)&amp;"")</f>
        <v/>
      </c>
      <c r="S289" s="181" t="str">
        <f t="shared" ca="1" si="39"/>
        <v>VN</v>
      </c>
      <c r="T289" s="181" t="str">
        <f ca="1">IF(B289="","",IF(ISERROR(MATCH($J289,SorP!$B$1:$B$6279,0)),"",INDIRECT("'SorP'!$A$"&amp;MATCH($S289&amp;$J289,SorP!C:C,0))))</f>
        <v>VN-69</v>
      </c>
      <c r="U289" s="201"/>
      <c r="V289" s="226" t="e">
        <f>IF(C289="",NA(),IF(OR(C289="Smelter not listed",C289="Smelter not yet identified"),MATCH($B289&amp;$D289,'Smelter Look-up'!$J:$J,0),MATCH($B289&amp;$C289,'Smelter Look-up'!$J:$J,0)))</f>
        <v>#N/A</v>
      </c>
      <c r="X289" s="227">
        <f t="shared" si="40"/>
        <v>0</v>
      </c>
      <c r="AB289" s="228" t="str">
        <f t="shared" si="41"/>
        <v>TinThai Nguyen Mining and Metallurgy Co., Ltd.</v>
      </c>
    </row>
    <row r="290" spans="1:28" s="227" customFormat="1" ht="51">
      <c r="A290" s="181" t="s">
        <v>15110</v>
      </c>
      <c r="B290" s="182" t="s">
        <v>1126</v>
      </c>
      <c r="C290" s="186" t="s">
        <v>15109</v>
      </c>
      <c r="D290" s="230"/>
      <c r="E290" s="182" t="s">
        <v>1101</v>
      </c>
      <c r="F290" s="182" t="s">
        <v>15110</v>
      </c>
      <c r="G290" s="182" t="s">
        <v>13240</v>
      </c>
      <c r="H290" s="183" t="s">
        <v>15802</v>
      </c>
      <c r="I290" s="184" t="s">
        <v>15148</v>
      </c>
      <c r="J290" s="184" t="s">
        <v>12852</v>
      </c>
      <c r="K290" s="224" t="s">
        <v>15802</v>
      </c>
      <c r="L290" s="224" t="s">
        <v>15802</v>
      </c>
      <c r="M290" s="224" t="s">
        <v>15885</v>
      </c>
      <c r="N290" s="224" t="s">
        <v>15802</v>
      </c>
      <c r="O290" s="224" t="s">
        <v>15886</v>
      </c>
      <c r="P290" s="185" t="s">
        <v>489</v>
      </c>
      <c r="Q290" s="225" t="s">
        <v>15802</v>
      </c>
      <c r="R290" s="182" t="str">
        <f ca="1">IF(ISERROR($V290),"",OFFSET('Smelter Look-up'!$C$4,$V290-4,0)&amp;"")</f>
        <v>PT Menara Cipta Mulia</v>
      </c>
      <c r="S290" s="181" t="str">
        <f t="shared" ca="1" si="39"/>
        <v>ID</v>
      </c>
      <c r="T290" s="181" t="str">
        <f ca="1">IF(B290="","",IF(ISERROR(MATCH($J290,SorP!$B$1:$B$6279,0)),"",INDIRECT("'SorP'!$A$"&amp;MATCH($S290&amp;$J290,SorP!C:C,0))))</f>
        <v>ID-BB</v>
      </c>
      <c r="U290" s="201"/>
      <c r="V290" s="226">
        <f>IF(C290="",NA(),IF(OR(C290="Smelter not listed",C290="Smelter not yet identified"),MATCH($B290&amp;$D290,'Smelter Look-up'!$J:$J,0),MATCH($B290&amp;$C290,'Smelter Look-up'!$J:$J,0)))</f>
        <v>499</v>
      </c>
      <c r="X290" s="227">
        <f t="shared" si="40"/>
        <v>0</v>
      </c>
      <c r="AB290" s="228" t="str">
        <f t="shared" si="41"/>
        <v>TinPT Menara Cipta Mulia</v>
      </c>
    </row>
    <row r="291" spans="1:28" s="227" customFormat="1" ht="76.5">
      <c r="A291" s="181" t="s">
        <v>2270</v>
      </c>
      <c r="B291" s="182" t="s">
        <v>1127</v>
      </c>
      <c r="C291" s="186" t="s">
        <v>2269</v>
      </c>
      <c r="D291" s="230"/>
      <c r="E291" s="182" t="s">
        <v>1096</v>
      </c>
      <c r="F291" s="182" t="s">
        <v>2270</v>
      </c>
      <c r="G291" s="182" t="s">
        <v>13240</v>
      </c>
      <c r="H291" s="183">
        <v>0</v>
      </c>
      <c r="I291" s="184" t="s">
        <v>1739</v>
      </c>
      <c r="J291" s="184" t="s">
        <v>13619</v>
      </c>
      <c r="K291" s="224"/>
      <c r="L291" s="224"/>
      <c r="M291" s="224"/>
      <c r="N291" s="224"/>
      <c r="O291" s="224"/>
      <c r="P291" s="185"/>
      <c r="Q291" s="225" t="s">
        <v>15815</v>
      </c>
      <c r="R291" s="182" t="str">
        <f ca="1">IF(ISERROR($V291),"",OFFSET('Smelter Look-up'!$C$4,$V291-4,0)&amp;"")</f>
        <v>Jiangxi Tuohong New Raw Material</v>
      </c>
      <c r="S291" s="181" t="str">
        <f t="shared" ca="1" si="39"/>
        <v>CN</v>
      </c>
      <c r="T291" s="181" t="str">
        <f ca="1">IF(B291="","",IF(ISERROR(MATCH($J291,SorP!$B$1:$B$6279,0)),"",INDIRECT("'SorP'!$A$"&amp;MATCH($S291&amp;$J291,SorP!C:C,0))))</f>
        <v>CN-JX</v>
      </c>
      <c r="U291" s="201"/>
      <c r="V291" s="226">
        <f>IF(C291="",NA(),IF(OR(C291="Smelter not listed",C291="Smelter not yet identified"),MATCH($B291&amp;$D291,'Smelter Look-up'!$J:$J,0),MATCH($B291&amp;$C291,'Smelter Look-up'!$J:$J,0)))</f>
        <v>340</v>
      </c>
      <c r="X291" s="227">
        <f t="shared" si="40"/>
        <v>0</v>
      </c>
      <c r="AB291" s="228" t="str">
        <f t="shared" si="41"/>
        <v>TantalumJiangxi Tuohong New Raw Material</v>
      </c>
    </row>
    <row r="292" spans="1:28" s="227" customFormat="1" ht="63.75">
      <c r="A292" s="181" t="s">
        <v>15875</v>
      </c>
      <c r="B292" s="182" t="s">
        <v>1128</v>
      </c>
      <c r="C292" s="186" t="s">
        <v>15876</v>
      </c>
      <c r="D292" s="230"/>
      <c r="E292" s="182" t="s">
        <v>1107</v>
      </c>
      <c r="F292" s="182" t="s">
        <v>15875</v>
      </c>
      <c r="G292" s="182" t="s">
        <v>13240</v>
      </c>
      <c r="H292" s="183">
        <v>0</v>
      </c>
      <c r="I292" s="184" t="s">
        <v>15562</v>
      </c>
      <c r="J292" s="184" t="s">
        <v>12872</v>
      </c>
      <c r="K292" s="224"/>
      <c r="L292" s="224"/>
      <c r="M292" s="224"/>
      <c r="N292" s="224"/>
      <c r="O292" s="224"/>
      <c r="P292" s="185"/>
      <c r="Q292" s="225" t="s">
        <v>15815</v>
      </c>
      <c r="R292" s="182" t="str">
        <f ca="1">IF(ISERROR($V292),"",OFFSET('Smelter Look-up'!$C$4,$V292-4,0)&amp;"")</f>
        <v/>
      </c>
      <c r="S292" s="181" t="str">
        <f t="shared" ca="1" si="39"/>
        <v>KR</v>
      </c>
      <c r="T292" s="181" t="str">
        <f ca="1">IF(B292="","",IF(ISERROR(MATCH($J292,SorP!$B$1:$B$6279,0)),"",INDIRECT("'SorP'!$A$"&amp;MATCH($S292&amp;$J292,SorP!C:C,0))))</f>
        <v>KR-47</v>
      </c>
      <c r="U292" s="201"/>
      <c r="V292" s="226" t="e">
        <f>IF(C292="",NA(),IF(OR(C292="Smelter not listed",C292="Smelter not yet identified"),MATCH($B292&amp;$D292,'Smelter Look-up'!$J:$J,0),MATCH($B292&amp;$C292,'Smelter Look-up'!$J:$J,0)))</f>
        <v>#N/A</v>
      </c>
      <c r="X292" s="227">
        <f t="shared" si="40"/>
        <v>0</v>
      </c>
      <c r="AB292" s="228" t="str">
        <f t="shared" si="41"/>
        <v>TungstenWoltech Korea Co., Ltd.</v>
      </c>
    </row>
    <row r="293" spans="1:28" s="227" customFormat="1" ht="76.5">
      <c r="A293" s="181" t="s">
        <v>15853</v>
      </c>
      <c r="B293" s="182" t="s">
        <v>1126</v>
      </c>
      <c r="C293" s="186" t="s">
        <v>15854</v>
      </c>
      <c r="D293" s="230"/>
      <c r="E293" s="182" t="s">
        <v>1096</v>
      </c>
      <c r="F293" s="182" t="s">
        <v>15853</v>
      </c>
      <c r="G293" s="182" t="s">
        <v>13240</v>
      </c>
      <c r="H293" s="183">
        <v>0</v>
      </c>
      <c r="I293" s="184" t="s">
        <v>1773</v>
      </c>
      <c r="J293" s="184" t="s">
        <v>13619</v>
      </c>
      <c r="K293" s="224"/>
      <c r="L293" s="224"/>
      <c r="M293" s="224"/>
      <c r="N293" s="224"/>
      <c r="O293" s="224"/>
      <c r="P293" s="185"/>
      <c r="Q293" s="225" t="s">
        <v>15815</v>
      </c>
      <c r="R293" s="182" t="str">
        <f ca="1">IF(ISERROR($V293),"",OFFSET('Smelter Look-up'!$C$4,$V293-4,0)&amp;"")</f>
        <v/>
      </c>
      <c r="S293" s="181" t="str">
        <f t="shared" ca="1" si="39"/>
        <v>CN</v>
      </c>
      <c r="T293" s="181" t="str">
        <f ca="1">IF(B293="","",IF(ISERROR(MATCH($J293,SorP!$B$1:$B$6279,0)),"",INDIRECT("'SorP'!$A$"&amp;MATCH($S293&amp;$J293,SorP!C:C,0))))</f>
        <v>CN-JX</v>
      </c>
      <c r="U293" s="201"/>
      <c r="V293" s="226" t="e">
        <f>IF(C293="",NA(),IF(OR(C293="Smelter not listed",C293="Smelter not yet identified"),MATCH($B293&amp;$D293,'Smelter Look-up'!$J:$J,0),MATCH($B293&amp;$C293,'Smelter Look-up'!$J:$J,0)))</f>
        <v>#N/A</v>
      </c>
      <c r="X293" s="227">
        <f t="shared" si="40"/>
        <v>0</v>
      </c>
      <c r="AB293" s="228" t="str">
        <f t="shared" si="41"/>
        <v>TinHuiChang Hill Tin Industry Co., Ltd.</v>
      </c>
    </row>
    <row r="294" spans="1:28" s="227" customFormat="1" ht="38.25">
      <c r="A294" s="181" t="s">
        <v>2271</v>
      </c>
      <c r="B294" s="182" t="s">
        <v>1128</v>
      </c>
      <c r="C294" s="186" t="s">
        <v>2537</v>
      </c>
      <c r="D294" s="230"/>
      <c r="E294" s="182" t="s">
        <v>879</v>
      </c>
      <c r="F294" s="182" t="s">
        <v>2271</v>
      </c>
      <c r="G294" s="182" t="s">
        <v>13240</v>
      </c>
      <c r="H294" s="183">
        <v>0</v>
      </c>
      <c r="I294" s="184" t="s">
        <v>2272</v>
      </c>
      <c r="J294" s="184" t="s">
        <v>9959</v>
      </c>
      <c r="K294" s="224"/>
      <c r="L294" s="224"/>
      <c r="M294" s="224"/>
      <c r="N294" s="224"/>
      <c r="O294" s="224"/>
      <c r="P294" s="185"/>
      <c r="Q294" s="225" t="s">
        <v>15815</v>
      </c>
      <c r="R294" s="182" t="str">
        <f ca="1">IF(ISERROR($V294),"",OFFSET('Smelter Look-up'!$C$4,$V294-4,0)&amp;"")</f>
        <v>Moliren Ltd.</v>
      </c>
      <c r="S294" s="181" t="str">
        <f t="shared" ref="S294:S324" ca="1" si="42">IF(B294="","",IF(ISERROR(MATCH($E294,CL,0)),"Unknown",INDIRECT("'C'!$A$"&amp;MATCH($E294,CL,0)+1)))</f>
        <v>RU</v>
      </c>
      <c r="T294" s="181" t="str">
        <f ca="1">IF(B294="","",IF(ISERROR(MATCH($J294,SorP!$B$1:$B$6279,0)),"",INDIRECT("'SorP'!$A$"&amp;MATCH($S294&amp;$J294,SorP!C:C,0))))</f>
        <v>RU-MOS</v>
      </c>
      <c r="U294" s="201"/>
      <c r="V294" s="226">
        <f>IF(C294="",NA(),IF(OR(C294="Smelter not listed",C294="Smelter not yet identified"),MATCH($B294&amp;$D294,'Smelter Look-up'!$J:$J,0),MATCH($B294&amp;$C294,'Smelter Look-up'!$J:$J,0)))</f>
        <v>618</v>
      </c>
      <c r="X294" s="227">
        <f t="shared" ref="X294:X324" si="43">IF(AND(C294="Smelter not listed",OR(LEN(D294)=0,LEN(E294)=0)),1,0)</f>
        <v>0</v>
      </c>
      <c r="AB294" s="228" t="str">
        <f t="shared" ref="AB294:AB324" si="44">B294&amp;C294</f>
        <v>TungstenMoliren Ltd.</v>
      </c>
    </row>
    <row r="295" spans="1:28" s="227" customFormat="1" ht="51">
      <c r="A295" s="181" t="s">
        <v>15841</v>
      </c>
      <c r="B295" s="182" t="s">
        <v>1127</v>
      </c>
      <c r="C295" s="186" t="s">
        <v>15842</v>
      </c>
      <c r="D295" s="230"/>
      <c r="E295" s="182" t="s">
        <v>15843</v>
      </c>
      <c r="F295" s="182" t="s">
        <v>15841</v>
      </c>
      <c r="G295" s="182" t="s">
        <v>13240</v>
      </c>
      <c r="H295" s="183">
        <v>0</v>
      </c>
      <c r="I295" s="184" t="s">
        <v>15844</v>
      </c>
      <c r="J295" s="184" t="s">
        <v>15844</v>
      </c>
      <c r="K295" s="224"/>
      <c r="L295" s="224"/>
      <c r="M295" s="224"/>
      <c r="N295" s="224"/>
      <c r="O295" s="224"/>
      <c r="P295" s="185"/>
      <c r="Q295" s="225" t="s">
        <v>15815</v>
      </c>
      <c r="R295" s="182" t="str">
        <f ca="1">IF(ISERROR($V295),"",OFFSET('Smelter Look-up'!$C$4,$V295-4,0)&amp;"")</f>
        <v/>
      </c>
      <c r="S295" s="181" t="str">
        <f t="shared" ca="1" si="42"/>
        <v>Unknown</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si="43"/>
        <v>0</v>
      </c>
      <c r="AB295" s="228" t="str">
        <f t="shared" si="44"/>
        <v>TantalumPower Resources Ltd.</v>
      </c>
    </row>
    <row r="296" spans="1:28" s="227" customFormat="1" ht="89.25">
      <c r="A296" s="181" t="s">
        <v>16004</v>
      </c>
      <c r="B296" s="182" t="s">
        <v>1126</v>
      </c>
      <c r="C296" s="186" t="s">
        <v>16005</v>
      </c>
      <c r="D296" s="230" t="s">
        <v>16005</v>
      </c>
      <c r="E296" s="182" t="s">
        <v>1096</v>
      </c>
      <c r="F296" s="182" t="s">
        <v>16004</v>
      </c>
      <c r="G296" s="182" t="s">
        <v>15883</v>
      </c>
      <c r="H296" s="183">
        <v>0</v>
      </c>
      <c r="I296" s="184" t="s">
        <v>2446</v>
      </c>
      <c r="J296" s="184" t="s">
        <v>16006</v>
      </c>
      <c r="K296" s="224"/>
      <c r="L296" s="224"/>
      <c r="M296" s="224"/>
      <c r="N296" s="224"/>
      <c r="O296" s="224"/>
      <c r="P296" s="185"/>
      <c r="Q296" s="225" t="s">
        <v>15907</v>
      </c>
      <c r="R296" s="182" t="str">
        <f ca="1">IF(ISERROR($V296),"",OFFSET('Smelter Look-up'!$C$4,$V296-4,0)&amp;"")</f>
        <v/>
      </c>
      <c r="S296" s="181" t="str">
        <f t="shared" ca="1" si="42"/>
        <v>CN</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si="43"/>
        <v>0</v>
      </c>
      <c r="AB296" s="228" t="str">
        <f t="shared" si="44"/>
        <v>TinGejiu Fengming Metallurgy Chemical Plant</v>
      </c>
    </row>
    <row r="297" spans="1:28" s="227" customFormat="1" ht="89.25">
      <c r="A297" s="181" t="s">
        <v>15855</v>
      </c>
      <c r="B297" s="182" t="s">
        <v>1126</v>
      </c>
      <c r="C297" s="186" t="s">
        <v>15856</v>
      </c>
      <c r="D297" s="230"/>
      <c r="E297" s="182" t="s">
        <v>1096</v>
      </c>
      <c r="F297" s="182" t="s">
        <v>15855</v>
      </c>
      <c r="G297" s="182" t="s">
        <v>13240</v>
      </c>
      <c r="H297" s="183">
        <v>0</v>
      </c>
      <c r="I297" s="184" t="s">
        <v>15857</v>
      </c>
      <c r="J297" s="184" t="s">
        <v>13603</v>
      </c>
      <c r="K297" s="224"/>
      <c r="L297" s="224"/>
      <c r="M297" s="224"/>
      <c r="N297" s="224"/>
      <c r="O297" s="224"/>
      <c r="P297" s="185"/>
      <c r="Q297" s="225" t="s">
        <v>15815</v>
      </c>
      <c r="R297" s="182" t="str">
        <f ca="1">IF(ISERROR($V297),"",OFFSET('Smelter Look-up'!$C$4,$V297-4,0)&amp;"")</f>
        <v/>
      </c>
      <c r="S297" s="181" t="str">
        <f t="shared" ca="1" si="42"/>
        <v>CN</v>
      </c>
      <c r="T297" s="181" t="str">
        <f ca="1">IF(B297="","",IF(ISERROR(MATCH($J297,SorP!$B$1:$B$6279,0)),"",INDIRECT("'SorP'!$A$"&amp;MATCH($S297&amp;$J297,SorP!C:C,0))))</f>
        <v>CN-GX</v>
      </c>
      <c r="U297" s="201"/>
      <c r="V297" s="226" t="e">
        <f>IF(C297="",NA(),IF(OR(C297="Smelter not listed",C297="Smelter not yet identified"),MATCH($B297&amp;$D297,'Smelter Look-up'!$J:$J,0),MATCH($B297&amp;$C297,'Smelter Look-up'!$J:$J,0)))</f>
        <v>#N/A</v>
      </c>
      <c r="X297" s="227">
        <f t="shared" si="43"/>
        <v>0</v>
      </c>
      <c r="AB297" s="228" t="str">
        <f t="shared" si="44"/>
        <v>TinGuanyang Guida Nonferrous Metal Smelting Plant</v>
      </c>
    </row>
    <row r="298" spans="1:28" s="227" customFormat="1" ht="51">
      <c r="A298" s="181" t="s">
        <v>2288</v>
      </c>
      <c r="B298" s="182" t="s">
        <v>1125</v>
      </c>
      <c r="C298" s="186" t="s">
        <v>2287</v>
      </c>
      <c r="D298" s="230"/>
      <c r="E298" s="182" t="s">
        <v>889</v>
      </c>
      <c r="F298" s="182" t="s">
        <v>2288</v>
      </c>
      <c r="G298" s="182" t="s">
        <v>13240</v>
      </c>
      <c r="H298" s="183">
        <v>0</v>
      </c>
      <c r="I298" s="184" t="s">
        <v>2289</v>
      </c>
      <c r="J298" s="184" t="s">
        <v>1644</v>
      </c>
      <c r="K298" s="224"/>
      <c r="L298" s="224"/>
      <c r="M298" s="224"/>
      <c r="N298" s="224"/>
      <c r="O298" s="224"/>
      <c r="P298" s="185"/>
      <c r="Q298" s="225" t="s">
        <v>15815</v>
      </c>
      <c r="R298" s="182" t="str">
        <f ca="1">IF(ISERROR($V298),"",OFFSET('Smelter Look-up'!$C$4,$V298-4,0)&amp;"")</f>
        <v>AU Traders and Refiners</v>
      </c>
      <c r="S298" s="181" t="str">
        <f t="shared" ca="1" si="42"/>
        <v>ZA</v>
      </c>
      <c r="T298" s="181" t="str">
        <f ca="1">IF(B298="","",IF(ISERROR(MATCH($J298,SorP!$B$1:$B$6279,0)),"",INDIRECT("'SorP'!$A$"&amp;MATCH($S298&amp;$J298,SorP!C:C,0))))</f>
        <v>ZA-GP</v>
      </c>
      <c r="U298" s="201"/>
      <c r="V298" s="226">
        <f>IF(C298="",NA(),IF(OR(C298="Smelter not listed",C298="Smelter not yet identified"),MATCH($B298&amp;$D298,'Smelter Look-up'!$J:$J,0),MATCH($B298&amp;$C298,'Smelter Look-up'!$J:$J,0)))</f>
        <v>35</v>
      </c>
      <c r="X298" s="227">
        <f t="shared" si="43"/>
        <v>0</v>
      </c>
      <c r="AB298" s="228" t="str">
        <f t="shared" si="44"/>
        <v>GoldAU Traders and Refiners</v>
      </c>
    </row>
    <row r="299" spans="1:28" s="227" customFormat="1" ht="76.5">
      <c r="A299" s="181" t="s">
        <v>2296</v>
      </c>
      <c r="B299" s="182" t="s">
        <v>1125</v>
      </c>
      <c r="C299" s="186" t="s">
        <v>15450</v>
      </c>
      <c r="D299" s="230"/>
      <c r="E299" s="182" t="s">
        <v>1102</v>
      </c>
      <c r="F299" s="182" t="s">
        <v>2296</v>
      </c>
      <c r="G299" s="182" t="s">
        <v>13240</v>
      </c>
      <c r="H299" s="183"/>
      <c r="I299" s="184" t="s">
        <v>2297</v>
      </c>
      <c r="J299" s="184" t="s">
        <v>15580</v>
      </c>
      <c r="K299" s="224"/>
      <c r="L299" s="224"/>
      <c r="M299" s="224"/>
      <c r="N299" s="224"/>
      <c r="O299" s="224"/>
      <c r="P299" s="185"/>
      <c r="Q299" s="225"/>
      <c r="R299" s="182" t="str">
        <f ca="1">IF(ISERROR($V299),"",OFFSET('Smelter Look-up'!$C$4,$V299-4,0)&amp;"")</f>
        <v>GGC Gujrat Gold Centre Pvt. Ltd.</v>
      </c>
      <c r="S299" s="181" t="str">
        <f t="shared" ca="1" si="42"/>
        <v>IN</v>
      </c>
      <c r="T299" s="181" t="str">
        <f ca="1">IF(B299="","",IF(ISERROR(MATCH($J299,SorP!$B$1:$B$6279,0)),"",INDIRECT("'SorP'!$A$"&amp;MATCH($S299&amp;$J299,SorP!C:C,0))))</f>
        <v>IN-GJ</v>
      </c>
      <c r="U299" s="201"/>
      <c r="V299" s="226">
        <f>IF(C299="",NA(),IF(OR(C299="Smelter not listed",C299="Smelter not yet identified"),MATCH($B299&amp;$D299,'Smelter Look-up'!$J:$J,0),MATCH($B299&amp;$C299,'Smelter Look-up'!$J:$J,0)))</f>
        <v>88</v>
      </c>
      <c r="X299" s="227">
        <f t="shared" si="43"/>
        <v>0</v>
      </c>
      <c r="AB299" s="228" t="str">
        <f t="shared" si="44"/>
        <v>GoldGGC Gujrat Gold Centre Pvt. Ltd.</v>
      </c>
    </row>
    <row r="300" spans="1:28" s="227" customFormat="1" ht="25.5">
      <c r="A300" s="181" t="s">
        <v>2321</v>
      </c>
      <c r="B300" s="182" t="s">
        <v>1125</v>
      </c>
      <c r="C300" s="186" t="s">
        <v>2320</v>
      </c>
      <c r="D300" s="230"/>
      <c r="E300" s="182" t="s">
        <v>1102</v>
      </c>
      <c r="F300" s="182" t="s">
        <v>2321</v>
      </c>
      <c r="G300" s="182" t="s">
        <v>13240</v>
      </c>
      <c r="H300" s="183"/>
      <c r="I300" s="184" t="s">
        <v>2322</v>
      </c>
      <c r="J300" s="184" t="s">
        <v>15581</v>
      </c>
      <c r="K300" s="224"/>
      <c r="L300" s="224"/>
      <c r="M300" s="224"/>
      <c r="N300" s="224"/>
      <c r="O300" s="224"/>
      <c r="P300" s="185"/>
      <c r="Q300" s="225"/>
      <c r="R300" s="182" t="str">
        <f ca="1">IF(ISERROR($V300),"",OFFSET('Smelter Look-up'!$C$4,$V300-4,0)&amp;"")</f>
        <v>Sai Refinery</v>
      </c>
      <c r="S300" s="181" t="str">
        <f t="shared" ca="1" si="42"/>
        <v>IN</v>
      </c>
      <c r="T300" s="181" t="str">
        <f ca="1">IF(B300="","",IF(ISERROR(MATCH($J300,SorP!$B$1:$B$6279,0)),"",INDIRECT("'SorP'!$A$"&amp;MATCH($S300&amp;$J300,SorP!C:C,0))))</f>
        <v>IN-HP</v>
      </c>
      <c r="U300" s="201"/>
      <c r="V300" s="226">
        <f>IF(C300="",NA(),IF(OR(C300="Smelter not listed",C300="Smelter not yet identified"),MATCH($B300&amp;$D300,'Smelter Look-up'!$J:$J,0),MATCH($B300&amp;$C300,'Smelter Look-up'!$J:$J,0)))</f>
        <v>226</v>
      </c>
      <c r="X300" s="227">
        <f t="shared" si="43"/>
        <v>0</v>
      </c>
      <c r="AB300" s="228" t="str">
        <f t="shared" si="44"/>
        <v>GoldSai Refinery</v>
      </c>
    </row>
    <row r="301" spans="1:28" s="227" customFormat="1" ht="38.25">
      <c r="A301" s="181" t="s">
        <v>2311</v>
      </c>
      <c r="B301" s="182" t="s">
        <v>1125</v>
      </c>
      <c r="C301" s="186" t="s">
        <v>2310</v>
      </c>
      <c r="D301" s="230"/>
      <c r="E301" s="182" t="s">
        <v>1111</v>
      </c>
      <c r="F301" s="182" t="s">
        <v>2311</v>
      </c>
      <c r="G301" s="182" t="s">
        <v>13240</v>
      </c>
      <c r="H301" s="183"/>
      <c r="I301" s="184" t="s">
        <v>2347</v>
      </c>
      <c r="J301" s="184" t="s">
        <v>2348</v>
      </c>
      <c r="K301" s="224"/>
      <c r="L301" s="224"/>
      <c r="M301" s="224"/>
      <c r="N301" s="224"/>
      <c r="O301" s="224"/>
      <c r="P301" s="185"/>
      <c r="Q301" s="225"/>
      <c r="R301" s="182" t="str">
        <f ca="1">IF(ISERROR($V301),"",OFFSET('Smelter Look-up'!$C$4,$V301-4,0)&amp;"")</f>
        <v>Modeltech Sdn Bhd</v>
      </c>
      <c r="S301" s="181" t="str">
        <f t="shared" ca="1" si="42"/>
        <v>MY</v>
      </c>
      <c r="T301" s="181" t="str">
        <f ca="1">IF(B301="","",IF(ISERROR(MATCH($J301,SorP!$B$1:$B$6279,0)),"",INDIRECT("'SorP'!$A$"&amp;MATCH($S301&amp;$J301,SorP!C:C,0))))</f>
        <v>MY-04</v>
      </c>
      <c r="U301" s="201"/>
      <c r="V301" s="226">
        <f>IF(C301="",NA(),IF(OR(C301="Smelter not listed",C301="Smelter not yet identified"),MATCH($B301&amp;$D301,'Smelter Look-up'!$J:$J,0),MATCH($B301&amp;$C301,'Smelter Look-up'!$J:$J,0)))</f>
        <v>186</v>
      </c>
      <c r="X301" s="227">
        <f t="shared" si="43"/>
        <v>0</v>
      </c>
      <c r="AB301" s="228" t="str">
        <f t="shared" si="44"/>
        <v>GoldModeltech Sdn Bhd</v>
      </c>
    </row>
    <row r="302" spans="1:28" s="227" customFormat="1" ht="38.25">
      <c r="A302" s="181" t="s">
        <v>2344</v>
      </c>
      <c r="B302" s="182" t="s">
        <v>1126</v>
      </c>
      <c r="C302" s="186" t="s">
        <v>2310</v>
      </c>
      <c r="D302" s="230"/>
      <c r="E302" s="182" t="s">
        <v>1111</v>
      </c>
      <c r="F302" s="182" t="s">
        <v>2344</v>
      </c>
      <c r="G302" s="182" t="s">
        <v>13240</v>
      </c>
      <c r="H302" s="183"/>
      <c r="I302" s="184" t="s">
        <v>2347</v>
      </c>
      <c r="J302" s="184" t="s">
        <v>2348</v>
      </c>
      <c r="K302" s="224"/>
      <c r="L302" s="224"/>
      <c r="M302" s="224"/>
      <c r="N302" s="224"/>
      <c r="O302" s="224"/>
      <c r="P302" s="185"/>
      <c r="Q302" s="225"/>
      <c r="R302" s="182" t="str">
        <f ca="1">IF(ISERROR($V302),"",OFFSET('Smelter Look-up'!$C$4,$V302-4,0)&amp;"")</f>
        <v>Modeltech Sdn Bhd</v>
      </c>
      <c r="S302" s="181" t="str">
        <f t="shared" ca="1" si="42"/>
        <v>MY</v>
      </c>
      <c r="T302" s="181" t="str">
        <f ca="1">IF(B302="","",IF(ISERROR(MATCH($J302,SorP!$B$1:$B$6279,0)),"",INDIRECT("'SorP'!$A$"&amp;MATCH($S302&amp;$J302,SorP!C:C,0))))</f>
        <v>MY-04</v>
      </c>
      <c r="U302" s="201"/>
      <c r="V302" s="226">
        <f>IF(C302="",NA(),IF(OR(C302="Smelter not listed",C302="Smelter not yet identified"),MATCH($B302&amp;$D302,'Smelter Look-up'!$J:$J,0),MATCH($B302&amp;$C302,'Smelter Look-up'!$J:$J,0)))</f>
        <v>472</v>
      </c>
      <c r="X302" s="227">
        <f t="shared" si="43"/>
        <v>0</v>
      </c>
      <c r="AB302" s="228" t="str">
        <f t="shared" si="44"/>
        <v>TinModeltech Sdn Bhd</v>
      </c>
    </row>
    <row r="303" spans="1:28" s="227" customFormat="1" ht="63.75">
      <c r="A303" s="181" t="s">
        <v>16007</v>
      </c>
      <c r="B303" s="182" t="s">
        <v>1126</v>
      </c>
      <c r="C303" s="186" t="s">
        <v>16008</v>
      </c>
      <c r="D303" s="230" t="s">
        <v>16008</v>
      </c>
      <c r="E303" s="182" t="s">
        <v>1096</v>
      </c>
      <c r="F303" s="182" t="s">
        <v>16007</v>
      </c>
      <c r="G303" s="182" t="s">
        <v>15883</v>
      </c>
      <c r="H303" s="183">
        <v>0</v>
      </c>
      <c r="I303" s="184" t="s">
        <v>2446</v>
      </c>
      <c r="J303" s="184" t="s">
        <v>16006</v>
      </c>
      <c r="K303" s="224"/>
      <c r="L303" s="224"/>
      <c r="M303" s="224"/>
      <c r="N303" s="224"/>
      <c r="O303" s="224"/>
      <c r="P303" s="185"/>
      <c r="Q303" s="225" t="s">
        <v>15907</v>
      </c>
      <c r="R303" s="182" t="str">
        <f ca="1">IF(ISERROR($V303),"",OFFSET('Smelter Look-up'!$C$4,$V303-4,0)&amp;"")</f>
        <v/>
      </c>
      <c r="S303" s="181" t="str">
        <f t="shared" ca="1" si="42"/>
        <v>CN</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si="43"/>
        <v>0</v>
      </c>
      <c r="AB303" s="228" t="str">
        <f t="shared" si="44"/>
        <v>TinGejiu Jinye Mineral Company</v>
      </c>
    </row>
    <row r="304" spans="1:28" s="227" customFormat="1" ht="38.25">
      <c r="A304" s="181" t="s">
        <v>2292</v>
      </c>
      <c r="B304" s="182" t="s">
        <v>1125</v>
      </c>
      <c r="C304" s="186" t="s">
        <v>2291</v>
      </c>
      <c r="D304" s="230"/>
      <c r="E304" s="182" t="s">
        <v>1102</v>
      </c>
      <c r="F304" s="182" t="s">
        <v>2292</v>
      </c>
      <c r="G304" s="182" t="s">
        <v>13240</v>
      </c>
      <c r="H304" s="183">
        <v>0</v>
      </c>
      <c r="I304" s="184" t="s">
        <v>2346</v>
      </c>
      <c r="J304" s="184" t="s">
        <v>15828</v>
      </c>
      <c r="K304" s="224"/>
      <c r="L304" s="224"/>
      <c r="M304" s="224"/>
      <c r="N304" s="224"/>
      <c r="O304" s="224"/>
      <c r="P304" s="185"/>
      <c r="Q304" s="225" t="s">
        <v>15815</v>
      </c>
      <c r="R304" s="182" t="str">
        <f ca="1">IF(ISERROR($V304),"",OFFSET('Smelter Look-up'!$C$4,$V304-4,0)&amp;"")</f>
        <v>Bangalore Refinery</v>
      </c>
      <c r="S304" s="181" t="str">
        <f t="shared" ca="1" si="42"/>
        <v>IN</v>
      </c>
      <c r="T304" s="181" t="str">
        <f ca="1">IF(B304="","",IF(ISERROR(MATCH($J304,SorP!$B$1:$B$6279,0)),"",INDIRECT("'SorP'!$A$"&amp;MATCH($S304&amp;$J304,SorP!C:C,0))))</f>
        <v/>
      </c>
      <c r="U304" s="201"/>
      <c r="V304" s="226">
        <f>IF(C304="",NA(),IF(OR(C304="Smelter not listed",C304="Smelter not yet identified"),MATCH($B304&amp;$D304,'Smelter Look-up'!$J:$J,0),MATCH($B304&amp;$C304,'Smelter Look-up'!$J:$J,0)))</f>
        <v>39</v>
      </c>
      <c r="X304" s="227">
        <f t="shared" si="43"/>
        <v>0</v>
      </c>
      <c r="AB304" s="228" t="str">
        <f t="shared" si="44"/>
        <v>GoldBangalore Refinery</v>
      </c>
    </row>
    <row r="305" spans="1:28" s="227" customFormat="1" ht="89.25">
      <c r="A305" s="181" t="s">
        <v>2437</v>
      </c>
      <c r="B305" s="182" t="s">
        <v>1125</v>
      </c>
      <c r="C305" s="186" t="s">
        <v>2436</v>
      </c>
      <c r="D305" s="230"/>
      <c r="E305" s="182" t="s">
        <v>1097</v>
      </c>
      <c r="F305" s="182" t="s">
        <v>2437</v>
      </c>
      <c r="G305" s="182" t="s">
        <v>13240</v>
      </c>
      <c r="H305" s="183"/>
      <c r="I305" s="184" t="s">
        <v>1542</v>
      </c>
      <c r="J305" s="184" t="s">
        <v>1543</v>
      </c>
      <c r="K305" s="224"/>
      <c r="L305" s="224"/>
      <c r="M305" s="224"/>
      <c r="N305" s="224"/>
      <c r="O305" s="224"/>
      <c r="P305" s="185"/>
      <c r="Q305" s="225"/>
      <c r="R305" s="182" t="str">
        <f ca="1">IF(ISERROR($V305),"",OFFSET('Smelter Look-up'!$C$4,$V305-4,0)&amp;"")</f>
        <v>Degussa Sonne / Mond Goldhandel GmbH</v>
      </c>
      <c r="S305" s="181" t="str">
        <f t="shared" ca="1" si="42"/>
        <v>DE</v>
      </c>
      <c r="T305" s="181" t="str">
        <f ca="1">IF(B305="","",IF(ISERROR(MATCH($J305,SorP!$B$1:$B$6279,0)),"",INDIRECT("'SorP'!$A$"&amp;MATCH($S305&amp;$J305,SorP!C:C,0))))</f>
        <v>DE-BW</v>
      </c>
      <c r="U305" s="201"/>
      <c r="V305" s="226">
        <f>IF(C305="",NA(),IF(OR(C305="Smelter not listed",C305="Smelter not yet identified"),MATCH($B305&amp;$D305,'Smelter Look-up'!$J:$J,0),MATCH($B305&amp;$C305,'Smelter Look-up'!$J:$J,0)))</f>
        <v>62</v>
      </c>
      <c r="X305" s="227">
        <f t="shared" si="43"/>
        <v>0</v>
      </c>
      <c r="AB305" s="228" t="str">
        <f t="shared" si="44"/>
        <v>GoldDegussa Sonne / Mond Goldhandel GmbH</v>
      </c>
    </row>
    <row r="306" spans="1:28" s="227" customFormat="1" ht="76.5">
      <c r="A306" s="181" t="s">
        <v>16009</v>
      </c>
      <c r="B306" s="182" t="s">
        <v>1126</v>
      </c>
      <c r="C306" s="186" t="s">
        <v>16010</v>
      </c>
      <c r="D306" s="230"/>
      <c r="E306" s="182" t="s">
        <v>1101</v>
      </c>
      <c r="F306" s="182" t="s">
        <v>16009</v>
      </c>
      <c r="G306" s="182" t="s">
        <v>15883</v>
      </c>
      <c r="H306" s="183">
        <v>0</v>
      </c>
      <c r="I306" s="184" t="s">
        <v>16011</v>
      </c>
      <c r="J306" s="184" t="s">
        <v>12852</v>
      </c>
      <c r="K306" s="224"/>
      <c r="L306" s="224"/>
      <c r="M306" s="224" t="s">
        <v>15931</v>
      </c>
      <c r="N306" s="224"/>
      <c r="O306" s="224" t="s">
        <v>16012</v>
      </c>
      <c r="P306" s="185" t="s">
        <v>489</v>
      </c>
      <c r="Q306" s="225" t="s">
        <v>15933</v>
      </c>
      <c r="R306" s="182" t="str">
        <f ca="1">IF(ISERROR($V306),"",OFFSET('Smelter Look-up'!$C$4,$V306-4,0)&amp;"")</f>
        <v/>
      </c>
      <c r="S306" s="181" t="str">
        <f t="shared" ca="1" si="42"/>
        <v>ID</v>
      </c>
      <c r="T306" s="181" t="str">
        <f ca="1">IF(B306="","",IF(ISERROR(MATCH($J306,SorP!$B$1:$B$6279,0)),"",INDIRECT("'SorP'!$A$"&amp;MATCH($S306&amp;$J306,SorP!C:C,0))))</f>
        <v>ID-BB</v>
      </c>
      <c r="U306" s="201"/>
      <c r="V306" s="226" t="e">
        <f>IF(C306="",NA(),IF(OR(C306="Smelter not listed",C306="Smelter not yet identified"),MATCH($B306&amp;$D306,'Smelter Look-up'!$J:$J,0),MATCH($B306&amp;$C306,'Smelter Look-up'!$J:$J,0)))</f>
        <v>#N/A</v>
      </c>
      <c r="X306" s="227">
        <f t="shared" si="43"/>
        <v>0</v>
      </c>
      <c r="AB306" s="228" t="str">
        <f t="shared" si="44"/>
        <v>TinPT Lautan Harmonis Sejahtera</v>
      </c>
    </row>
    <row r="307" spans="1:28" s="227" customFormat="1" ht="38.25">
      <c r="A307" s="181" t="s">
        <v>2442</v>
      </c>
      <c r="B307" s="182" t="s">
        <v>1125</v>
      </c>
      <c r="C307" s="186" t="s">
        <v>2441</v>
      </c>
      <c r="D307" s="230"/>
      <c r="E307" s="182" t="s">
        <v>2432</v>
      </c>
      <c r="F307" s="182" t="s">
        <v>2442</v>
      </c>
      <c r="G307" s="182" t="s">
        <v>13240</v>
      </c>
      <c r="H307" s="183"/>
      <c r="I307" s="184" t="s">
        <v>1538</v>
      </c>
      <c r="J307" s="184" t="s">
        <v>1539</v>
      </c>
      <c r="K307" s="224"/>
      <c r="L307" s="224"/>
      <c r="M307" s="224"/>
      <c r="N307" s="224"/>
      <c r="O307" s="224"/>
      <c r="P307" s="185"/>
      <c r="Q307" s="225"/>
      <c r="R307" s="182" t="str">
        <f ca="1">IF(ISERROR($V307),"",OFFSET('Smelter Look-up'!$C$4,$V307-4,0)&amp;"")</f>
        <v>Pease &amp; Curren</v>
      </c>
      <c r="S307" s="181" t="str">
        <f t="shared" ca="1" si="42"/>
        <v>US</v>
      </c>
      <c r="T307" s="181" t="str">
        <f ca="1">IF(B307="","",IF(ISERROR(MATCH($J307,SorP!$B$1:$B$6279,0)),"",INDIRECT("'SorP'!$A$"&amp;MATCH($S307&amp;$J307,SorP!C:C,0))))</f>
        <v>US-RI</v>
      </c>
      <c r="U307" s="201"/>
      <c r="V307" s="226">
        <f>IF(C307="",NA(),IF(OR(C307="Smelter not listed",C307="Smelter not yet identified"),MATCH($B307&amp;$D307,'Smelter Look-up'!$J:$J,0),MATCH($B307&amp;$C307,'Smelter Look-up'!$J:$J,0)))</f>
        <v>204</v>
      </c>
      <c r="X307" s="227">
        <f t="shared" si="43"/>
        <v>0</v>
      </c>
      <c r="AB307" s="228" t="str">
        <f t="shared" si="44"/>
        <v>GoldPease &amp; Curren</v>
      </c>
    </row>
    <row r="308" spans="1:28" s="227" customFormat="1" ht="63.75">
      <c r="A308" s="181" t="s">
        <v>2452</v>
      </c>
      <c r="B308" s="182" t="s">
        <v>1125</v>
      </c>
      <c r="C308" s="186" t="s">
        <v>12925</v>
      </c>
      <c r="D308" s="230"/>
      <c r="E308" s="182" t="s">
        <v>1107</v>
      </c>
      <c r="F308" s="182" t="s">
        <v>2452</v>
      </c>
      <c r="G308" s="182" t="s">
        <v>13240</v>
      </c>
      <c r="H308" s="183">
        <v>0</v>
      </c>
      <c r="I308" s="184" t="s">
        <v>12940</v>
      </c>
      <c r="J308" s="184" t="s">
        <v>12874</v>
      </c>
      <c r="K308" s="224"/>
      <c r="L308" s="224"/>
      <c r="M308" s="224"/>
      <c r="N308" s="224"/>
      <c r="O308" s="224"/>
      <c r="P308" s="185"/>
      <c r="Q308" s="225" t="s">
        <v>15815</v>
      </c>
      <c r="R308" s="182" t="str">
        <f ca="1">IF(ISERROR($V308),"",OFFSET('Smelter Look-up'!$C$4,$V308-4,0)&amp;"")</f>
        <v>SungEel HiMetal Co., Ltd.</v>
      </c>
      <c r="S308" s="181" t="str">
        <f t="shared" ca="1" si="42"/>
        <v>KR</v>
      </c>
      <c r="T308" s="181" t="str">
        <f ca="1">IF(B308="","",IF(ISERROR(MATCH($J308,SorP!$B$1:$B$6279,0)),"",INDIRECT("'SorP'!$A$"&amp;MATCH($S308&amp;$J308,SorP!C:C,0))))</f>
        <v>KR-45</v>
      </c>
      <c r="U308" s="201"/>
      <c r="V308" s="226">
        <f>IF(C308="",NA(),IF(OR(C308="Smelter not listed",C308="Smelter not yet identified"),MATCH($B308&amp;$D308,'Smelter Look-up'!$J:$J,0),MATCH($B308&amp;$C308,'Smelter Look-up'!$J:$J,0)))</f>
        <v>266</v>
      </c>
      <c r="X308" s="227">
        <f t="shared" si="43"/>
        <v>0</v>
      </c>
      <c r="AB308" s="228" t="str">
        <f t="shared" si="44"/>
        <v>GoldSungEel HiMetal Co., Ltd.</v>
      </c>
    </row>
    <row r="309" spans="1:28" s="227" customFormat="1" ht="89.25">
      <c r="A309" s="181" t="s">
        <v>2514</v>
      </c>
      <c r="B309" s="182" t="s">
        <v>1125</v>
      </c>
      <c r="C309" s="186" t="s">
        <v>2513</v>
      </c>
      <c r="D309" s="230"/>
      <c r="E309" s="182" t="s">
        <v>1095</v>
      </c>
      <c r="F309" s="182" t="s">
        <v>2514</v>
      </c>
      <c r="G309" s="182" t="s">
        <v>13240</v>
      </c>
      <c r="H309" s="183">
        <v>0</v>
      </c>
      <c r="I309" s="184" t="s">
        <v>2515</v>
      </c>
      <c r="J309" s="184" t="s">
        <v>2516</v>
      </c>
      <c r="K309" s="224"/>
      <c r="L309" s="224"/>
      <c r="M309" s="224"/>
      <c r="N309" s="224"/>
      <c r="O309" s="224"/>
      <c r="P309" s="185"/>
      <c r="Q309" s="225" t="s">
        <v>15815</v>
      </c>
      <c r="R309" s="182" t="str">
        <f ca="1">IF(ISERROR($V309),"",OFFSET('Smelter Look-up'!$C$4,$V309-4,0)&amp;"")</f>
        <v>Planta Recuperadora de Metales SpA</v>
      </c>
      <c r="S309" s="181" t="str">
        <f t="shared" ca="1" si="42"/>
        <v>CL</v>
      </c>
      <c r="T309" s="181" t="str">
        <f ca="1">IF(B309="","",IF(ISERROR(MATCH($J309,SorP!$B$1:$B$6279,0)),"",INDIRECT("'SorP'!$A$"&amp;MATCH($S309&amp;$J309,SorP!C:C,0))))</f>
        <v>CL-AN</v>
      </c>
      <c r="U309" s="201"/>
      <c r="V309" s="226">
        <f>IF(C309="",NA(),IF(OR(C309="Smelter not listed",C309="Smelter not yet identified"),MATCH($B309&amp;$D309,'Smelter Look-up'!$J:$J,0),MATCH($B309&amp;$C309,'Smelter Look-up'!$J:$J,0)))</f>
        <v>208</v>
      </c>
      <c r="X309" s="227">
        <f t="shared" si="43"/>
        <v>0</v>
      </c>
      <c r="AB309" s="228" t="str">
        <f t="shared" si="44"/>
        <v>GoldPlanta Recuperadora de Metales SpA</v>
      </c>
    </row>
    <row r="310" spans="1:28" s="227" customFormat="1" ht="38.25">
      <c r="A310" s="181" t="s">
        <v>2518</v>
      </c>
      <c r="B310" s="182" t="s">
        <v>1125</v>
      </c>
      <c r="C310" s="186" t="s">
        <v>2517</v>
      </c>
      <c r="D310" s="230"/>
      <c r="E310" s="182" t="s">
        <v>1103</v>
      </c>
      <c r="F310" s="182" t="s">
        <v>2518</v>
      </c>
      <c r="G310" s="182" t="s">
        <v>13240</v>
      </c>
      <c r="H310" s="183">
        <v>0</v>
      </c>
      <c r="I310" s="184" t="s">
        <v>1569</v>
      </c>
      <c r="J310" s="184" t="s">
        <v>6470</v>
      </c>
      <c r="K310" s="224"/>
      <c r="L310" s="224"/>
      <c r="M310" s="224"/>
      <c r="N310" s="224"/>
      <c r="O310" s="224"/>
      <c r="P310" s="185"/>
      <c r="Q310" s="225" t="s">
        <v>15815</v>
      </c>
      <c r="R310" s="182" t="str">
        <f ca="1">IF(ISERROR($V310),"",OFFSET('Smelter Look-up'!$C$4,$V310-4,0)&amp;"")</f>
        <v>Safimet S.p.A</v>
      </c>
      <c r="S310" s="181" t="str">
        <f t="shared" ca="1" si="42"/>
        <v>IT</v>
      </c>
      <c r="T310" s="181" t="str">
        <f ca="1">IF(B310="","",IF(ISERROR(MATCH($J310,SorP!$B$1:$B$6279,0)),"",INDIRECT("'SorP'!$A$"&amp;MATCH($S310&amp;$J310,SorP!C:C,0))))</f>
        <v>IT-52</v>
      </c>
      <c r="U310" s="201"/>
      <c r="V310" s="226">
        <f>IF(C310="",NA(),IF(OR(C310="Smelter not listed",C310="Smelter not yet identified"),MATCH($B310&amp;$D310,'Smelter Look-up'!$J:$J,0),MATCH($B310&amp;$C310,'Smelter Look-up'!$J:$J,0)))</f>
        <v>223</v>
      </c>
      <c r="X310" s="227">
        <f t="shared" si="43"/>
        <v>0</v>
      </c>
      <c r="AB310" s="228" t="str">
        <f t="shared" si="44"/>
        <v>GoldSafimet S.p.A</v>
      </c>
    </row>
    <row r="311" spans="1:28" s="227" customFormat="1" ht="102">
      <c r="A311" s="181" t="s">
        <v>2529</v>
      </c>
      <c r="B311" s="182" t="s">
        <v>1126</v>
      </c>
      <c r="C311" s="186" t="s">
        <v>2528</v>
      </c>
      <c r="D311" s="230"/>
      <c r="E311" s="182" t="s">
        <v>1096</v>
      </c>
      <c r="F311" s="182" t="s">
        <v>2529</v>
      </c>
      <c r="G311" s="182" t="s">
        <v>13240</v>
      </c>
      <c r="H311" s="183" t="s">
        <v>15802</v>
      </c>
      <c r="I311" s="184" t="s">
        <v>1824</v>
      </c>
      <c r="J311" s="184" t="s">
        <v>13624</v>
      </c>
      <c r="K311" s="224" t="s">
        <v>15802</v>
      </c>
      <c r="L311" s="224" t="s">
        <v>15802</v>
      </c>
      <c r="M311" s="224" t="s">
        <v>15885</v>
      </c>
      <c r="N311" s="224" t="s">
        <v>15802</v>
      </c>
      <c r="O311" s="224" t="s">
        <v>15886</v>
      </c>
      <c r="P311" s="185" t="s">
        <v>489</v>
      </c>
      <c r="Q311" s="225" t="s">
        <v>15802</v>
      </c>
      <c r="R311" s="182" t="str">
        <f ca="1">IF(ISERROR($V311),"",OFFSET('Smelter Look-up'!$C$4,$V311-4,0)&amp;"")</f>
        <v>Guangdong Hanhe Non-Ferrous Metal Co., Ltd.</v>
      </c>
      <c r="S311" s="181" t="str">
        <f t="shared" ca="1" si="42"/>
        <v>CN</v>
      </c>
      <c r="T311" s="181" t="str">
        <f ca="1">IF(B311="","",IF(ISERROR(MATCH($J311,SorP!$B$1:$B$6279,0)),"",INDIRECT("'SorP'!$A$"&amp;MATCH($S311&amp;$J311,SorP!C:C,0))))</f>
        <v>CN-GD</v>
      </c>
      <c r="U311" s="201"/>
      <c r="V311" s="226">
        <f>IF(C311="",NA(),IF(OR(C311="Smelter not listed",C311="Smelter not yet identified"),MATCH($B311&amp;$D311,'Smelter Look-up'!$J:$J,0),MATCH($B311&amp;$C311,'Smelter Look-up'!$J:$J,0)))</f>
        <v>442</v>
      </c>
      <c r="X311" s="227">
        <f t="shared" si="43"/>
        <v>0</v>
      </c>
      <c r="AB311" s="228" t="str">
        <f t="shared" si="44"/>
        <v>TinGuangdong Hanhe Non-Ferrous Metal Co., Ltd.</v>
      </c>
    </row>
    <row r="312" spans="1:28" s="227" customFormat="1" ht="165.75">
      <c r="A312" s="181" t="s">
        <v>2520</v>
      </c>
      <c r="B312" s="182" t="s">
        <v>1125</v>
      </c>
      <c r="C312" s="186" t="s">
        <v>2519</v>
      </c>
      <c r="D312" s="230"/>
      <c r="E312" s="182" t="s">
        <v>1108</v>
      </c>
      <c r="F312" s="182" t="s">
        <v>2520</v>
      </c>
      <c r="G312" s="182" t="s">
        <v>13240</v>
      </c>
      <c r="H312" s="183"/>
      <c r="I312" s="184" t="s">
        <v>2521</v>
      </c>
      <c r="J312" s="184" t="s">
        <v>2521</v>
      </c>
      <c r="K312" s="224"/>
      <c r="L312" s="224"/>
      <c r="M312" s="224"/>
      <c r="N312" s="224"/>
      <c r="O312" s="224"/>
      <c r="P312" s="185"/>
      <c r="Q312" s="225"/>
      <c r="R312" s="182" t="str">
        <f ca="1">IF(ISERROR($V312),"",OFFSET('Smelter Look-up'!$C$4,$V312-4,0)&amp;"")</f>
        <v>State Research Institute Center for Physical Sciences and Technology</v>
      </c>
      <c r="S312" s="181" t="str">
        <f t="shared" ca="1" si="42"/>
        <v>LT</v>
      </c>
      <c r="T312" s="181" t="str">
        <f ca="1">IF(B312="","",IF(ISERROR(MATCH($J312,SorP!$B$1:$B$6279,0)),"",INDIRECT("'SorP'!$A$"&amp;MATCH($S312&amp;$J312,SorP!C:C,0))))</f>
        <v>LT-58</v>
      </c>
      <c r="U312" s="201"/>
      <c r="V312" s="226">
        <f>IF(C312="",NA(),IF(OR(C312="Smelter not listed",C312="Smelter not yet identified"),MATCH($B312&amp;$D312,'Smelter Look-up'!$J:$J,0),MATCH($B312&amp;$C312,'Smelter Look-up'!$J:$J,0)))</f>
        <v>262</v>
      </c>
      <c r="X312" s="227">
        <f t="shared" si="43"/>
        <v>0</v>
      </c>
      <c r="AB312" s="228" t="str">
        <f t="shared" si="44"/>
        <v>GoldState Research Institute Center for Physical Sciences and Technology</v>
      </c>
    </row>
    <row r="313" spans="1:28" s="227" customFormat="1" ht="63.75">
      <c r="A313" s="181" t="s">
        <v>12921</v>
      </c>
      <c r="B313" s="182" t="s">
        <v>1125</v>
      </c>
      <c r="C313" s="186" t="s">
        <v>12920</v>
      </c>
      <c r="D313" s="230"/>
      <c r="E313" s="182" t="s">
        <v>1107</v>
      </c>
      <c r="F313" s="182" t="s">
        <v>12921</v>
      </c>
      <c r="G313" s="182" t="s">
        <v>13240</v>
      </c>
      <c r="H313" s="183" t="s">
        <v>15802</v>
      </c>
      <c r="I313" s="184" t="s">
        <v>12939</v>
      </c>
      <c r="J313" s="184" t="s">
        <v>12871</v>
      </c>
      <c r="K313" s="224" t="s">
        <v>15802</v>
      </c>
      <c r="L313" s="224" t="s">
        <v>15802</v>
      </c>
      <c r="M313" s="224" t="s">
        <v>15802</v>
      </c>
      <c r="N313" s="224" t="s">
        <v>15802</v>
      </c>
      <c r="O313" s="224" t="s">
        <v>15886</v>
      </c>
      <c r="P313" s="185" t="s">
        <v>489</v>
      </c>
      <c r="Q313" s="225" t="s">
        <v>15802</v>
      </c>
      <c r="R313" s="182" t="str">
        <f ca="1">IF(ISERROR($V313),"",OFFSET('Smelter Look-up'!$C$4,$V313-4,0)&amp;"")</f>
        <v>NH Recytech Company</v>
      </c>
      <c r="S313" s="181" t="str">
        <f t="shared" ca="1" si="42"/>
        <v>KR</v>
      </c>
      <c r="T313" s="181" t="str">
        <f ca="1">IF(B313="","",IF(ISERROR(MATCH($J313,SorP!$B$1:$B$6279,0)),"",INDIRECT("'SorP'!$A$"&amp;MATCH($S313&amp;$J313,SorP!C:C,0))))</f>
        <v>KR-41</v>
      </c>
      <c r="U313" s="201"/>
      <c r="V313" s="226">
        <f>IF(C313="",NA(),IF(OR(C313="Smelter not listed",C313="Smelter not yet identified"),MATCH($B313&amp;$D313,'Smelter Look-up'!$J:$J,0),MATCH($B313&amp;$C313,'Smelter Look-up'!$J:$J,0)))</f>
        <v>192</v>
      </c>
      <c r="X313" s="227">
        <f t="shared" si="43"/>
        <v>0</v>
      </c>
      <c r="AB313" s="228" t="str">
        <f t="shared" si="44"/>
        <v>GoldNH Recytech Company</v>
      </c>
    </row>
    <row r="314" spans="1:28" s="227" customFormat="1" ht="89.25">
      <c r="A314" s="181" t="s">
        <v>12930</v>
      </c>
      <c r="B314" s="182" t="s">
        <v>1126</v>
      </c>
      <c r="C314" s="186" t="s">
        <v>12929</v>
      </c>
      <c r="D314" s="230"/>
      <c r="E314" s="182" t="s">
        <v>1096</v>
      </c>
      <c r="F314" s="182" t="s">
        <v>12930</v>
      </c>
      <c r="G314" s="182" t="s">
        <v>13240</v>
      </c>
      <c r="H314" s="183">
        <v>0</v>
      </c>
      <c r="I314" s="184" t="s">
        <v>12948</v>
      </c>
      <c r="J314" s="184" t="s">
        <v>13602</v>
      </c>
      <c r="K314" s="224"/>
      <c r="L314" s="224"/>
      <c r="M314" s="224"/>
      <c r="N314" s="224"/>
      <c r="O314" s="224"/>
      <c r="P314" s="185"/>
      <c r="Q314" s="225" t="s">
        <v>15815</v>
      </c>
      <c r="R314" s="182" t="str">
        <f ca="1">IF(ISERROR($V314),"",OFFSET('Smelter Look-up'!$C$4,$V314-4,0)&amp;"")</f>
        <v>Chifeng Dajingzi Tin Industry Co., Ltd.</v>
      </c>
      <c r="S314" s="181" t="str">
        <f t="shared" ca="1" si="42"/>
        <v>CN</v>
      </c>
      <c r="T314" s="181" t="str">
        <f ca="1">IF(B314="","",IF(ISERROR(MATCH($J314,SorP!$B$1:$B$6279,0)),"",INDIRECT("'SorP'!$A$"&amp;MATCH($S314&amp;$J314,SorP!C:C,0))))</f>
        <v>CN-NM</v>
      </c>
      <c r="U314" s="201"/>
      <c r="V314" s="226">
        <f>IF(C314="",NA(),IF(OR(C314="Smelter not listed",C314="Smelter not yet identified"),MATCH($B314&amp;$D314,'Smelter Look-up'!$J:$J,0),MATCH($B314&amp;$C314,'Smelter Look-up'!$J:$J,0)))</f>
        <v>401</v>
      </c>
      <c r="X314" s="227">
        <f t="shared" si="43"/>
        <v>0</v>
      </c>
      <c r="AB314" s="228" t="str">
        <f t="shared" si="44"/>
        <v>TinChifeng Dajingzi Tin Industry Co., Ltd.</v>
      </c>
    </row>
    <row r="315" spans="1:28" s="227" customFormat="1" ht="51">
      <c r="A315" s="181" t="s">
        <v>15829</v>
      </c>
      <c r="B315" s="182" t="s">
        <v>1125</v>
      </c>
      <c r="C315" s="186" t="s">
        <v>15830</v>
      </c>
      <c r="D315" s="230"/>
      <c r="E315" s="182" t="s">
        <v>1107</v>
      </c>
      <c r="F315" s="182" t="s">
        <v>15829</v>
      </c>
      <c r="G315" s="182" t="s">
        <v>13240</v>
      </c>
      <c r="H315" s="183">
        <v>0</v>
      </c>
      <c r="I315" s="184" t="s">
        <v>15831</v>
      </c>
      <c r="J315" s="184" t="s">
        <v>12868</v>
      </c>
      <c r="K315" s="224"/>
      <c r="L315" s="224"/>
      <c r="M315" s="224"/>
      <c r="N315" s="224"/>
      <c r="O315" s="224"/>
      <c r="P315" s="185"/>
      <c r="Q315" s="225" t="s">
        <v>15815</v>
      </c>
      <c r="R315" s="182" t="str">
        <f ca="1">IF(ISERROR($V315),"",OFFSET('Smelter Look-up'!$C$4,$V315-4,0)&amp;"")</f>
        <v/>
      </c>
      <c r="S315" s="181" t="str">
        <f t="shared" ca="1" si="42"/>
        <v>KR</v>
      </c>
      <c r="T315" s="181" t="str">
        <f ca="1">IF(B315="","",IF(ISERROR(MATCH($J315,SorP!$B$1:$B$6279,0)),"",INDIRECT("'SorP'!$A$"&amp;MATCH($S315&amp;$J315,SorP!C:C,0))))</f>
        <v>KR-43</v>
      </c>
      <c r="U315" s="201"/>
      <c r="V315" s="226" t="e">
        <f>IF(C315="",NA(),IF(OR(C315="Smelter not listed",C315="Smelter not yet identified"),MATCH($B315&amp;$D315,'Smelter Look-up'!$J:$J,0),MATCH($B315&amp;$C315,'Smelter Look-up'!$J:$J,0)))</f>
        <v>#N/A</v>
      </c>
      <c r="X315" s="227">
        <f t="shared" si="43"/>
        <v>0</v>
      </c>
      <c r="AB315" s="228" t="str">
        <f t="shared" si="44"/>
        <v>GoldDS PRETECH Co., Ltd.</v>
      </c>
    </row>
    <row r="316" spans="1:28" s="227" customFormat="1" ht="51">
      <c r="A316" s="181" t="s">
        <v>14029</v>
      </c>
      <c r="B316" s="182" t="s">
        <v>1126</v>
      </c>
      <c r="C316" s="186" t="s">
        <v>12936</v>
      </c>
      <c r="D316" s="230"/>
      <c r="E316" s="182" t="s">
        <v>1101</v>
      </c>
      <c r="F316" s="182" t="s">
        <v>14029</v>
      </c>
      <c r="G316" s="182" t="s">
        <v>13240</v>
      </c>
      <c r="H316" s="183" t="s">
        <v>15802</v>
      </c>
      <c r="I316" s="184" t="s">
        <v>15147</v>
      </c>
      <c r="J316" s="184" t="s">
        <v>12852</v>
      </c>
      <c r="K316" s="224" t="s">
        <v>15802</v>
      </c>
      <c r="L316" s="224" t="s">
        <v>15802</v>
      </c>
      <c r="M316" s="224" t="s">
        <v>15885</v>
      </c>
      <c r="N316" s="224" t="s">
        <v>15802</v>
      </c>
      <c r="O316" s="224" t="s">
        <v>15886</v>
      </c>
      <c r="P316" s="185" t="s">
        <v>489</v>
      </c>
      <c r="Q316" s="225" t="s">
        <v>15802</v>
      </c>
      <c r="R316" s="182" t="str">
        <f ca="1">IF(ISERROR($V316),"",OFFSET('Smelter Look-up'!$C$4,$V316-4,0)&amp;"")</f>
        <v>PT Bangka Serumpun</v>
      </c>
      <c r="S316" s="181" t="str">
        <f t="shared" ca="1" si="42"/>
        <v>ID</v>
      </c>
      <c r="T316" s="181" t="str">
        <f ca="1">IF(B316="","",IF(ISERROR(MATCH($J316,SorP!$B$1:$B$6279,0)),"",INDIRECT("'SorP'!$A$"&amp;MATCH($S316&amp;$J316,SorP!C:C,0))))</f>
        <v>ID-BB</v>
      </c>
      <c r="U316" s="201"/>
      <c r="V316" s="226">
        <f>IF(C316="",NA(),IF(OR(C316="Smelter not listed",C316="Smelter not yet identified"),MATCH($B316&amp;$D316,'Smelter Look-up'!$J:$J,0),MATCH($B316&amp;$C316,'Smelter Look-up'!$J:$J,0)))</f>
        <v>492</v>
      </c>
      <c r="X316" s="227">
        <f t="shared" si="43"/>
        <v>0</v>
      </c>
      <c r="AB316" s="228" t="str">
        <f t="shared" si="44"/>
        <v>TinPT Bangka Serumpun</v>
      </c>
    </row>
    <row r="317" spans="1:28" s="227" customFormat="1" ht="63.75">
      <c r="A317" s="181" t="s">
        <v>12935</v>
      </c>
      <c r="B317" s="182" t="s">
        <v>1126</v>
      </c>
      <c r="C317" s="186" t="s">
        <v>12934</v>
      </c>
      <c r="D317" s="230"/>
      <c r="E317" s="182" t="s">
        <v>1110</v>
      </c>
      <c r="F317" s="182" t="s">
        <v>12935</v>
      </c>
      <c r="G317" s="182" t="s">
        <v>13240</v>
      </c>
      <c r="H317" s="183">
        <v>0</v>
      </c>
      <c r="I317" s="184" t="s">
        <v>8263</v>
      </c>
      <c r="J317" s="184" t="s">
        <v>8263</v>
      </c>
      <c r="K317" s="224"/>
      <c r="L317" s="224"/>
      <c r="M317" s="224"/>
      <c r="N317" s="224"/>
      <c r="O317" s="224"/>
      <c r="P317" s="185"/>
      <c r="Q317" s="225"/>
      <c r="R317" s="182" t="str">
        <f ca="1">IF(ISERROR($V317),"",OFFSET('Smelter Look-up'!$C$4,$V317-4,0)&amp;"")</f>
        <v>Pongpipat Company Limited</v>
      </c>
      <c r="S317" s="181" t="str">
        <f t="shared" ca="1" si="42"/>
        <v>MM</v>
      </c>
      <c r="T317" s="181" t="str">
        <f ca="1">IF(B317="","",IF(ISERROR(MATCH($J317,SorP!$B$1:$B$6279,0)),"",INDIRECT("'SorP'!$A$"&amp;MATCH($S317&amp;$J317,SorP!C:C,0))))</f>
        <v>MM-06</v>
      </c>
      <c r="U317" s="201"/>
      <c r="V317" s="226">
        <f>IF(C317="",NA(),IF(OR(C317="Smelter not listed",C317="Smelter not yet identified"),MATCH($B317&amp;$D317,'Smelter Look-up'!$J:$J,0),MATCH($B317&amp;$C317,'Smelter Look-up'!$J:$J,0)))</f>
        <v>484</v>
      </c>
      <c r="X317" s="227">
        <f t="shared" si="43"/>
        <v>0</v>
      </c>
      <c r="AB317" s="228" t="str">
        <f t="shared" si="44"/>
        <v>TinPongpipat Company Limited</v>
      </c>
    </row>
    <row r="318" spans="1:28" s="227" customFormat="1" ht="51">
      <c r="A318" s="181" t="s">
        <v>13184</v>
      </c>
      <c r="B318" s="182" t="s">
        <v>1126</v>
      </c>
      <c r="C318" s="186" t="s">
        <v>13183</v>
      </c>
      <c r="D318" s="230"/>
      <c r="E318" s="182" t="s">
        <v>2432</v>
      </c>
      <c r="F318" s="182" t="s">
        <v>13184</v>
      </c>
      <c r="G318" s="182" t="s">
        <v>13240</v>
      </c>
      <c r="H318" s="183" t="s">
        <v>15802</v>
      </c>
      <c r="I318" s="184" t="s">
        <v>13185</v>
      </c>
      <c r="J318" s="184" t="s">
        <v>1737</v>
      </c>
      <c r="K318" s="224" t="s">
        <v>15802</v>
      </c>
      <c r="L318" s="224" t="s">
        <v>15802</v>
      </c>
      <c r="M318" s="224" t="s">
        <v>15885</v>
      </c>
      <c r="N318" s="224" t="s">
        <v>15802</v>
      </c>
      <c r="O318" s="224" t="s">
        <v>15886</v>
      </c>
      <c r="P318" s="185" t="s">
        <v>489</v>
      </c>
      <c r="Q318" s="225" t="s">
        <v>15888</v>
      </c>
      <c r="R318" s="182" t="str">
        <f ca="1">IF(ISERROR($V318),"",OFFSET('Smelter Look-up'!$C$4,$V318-4,0)&amp;"")</f>
        <v>Tin Technology &amp; Refining</v>
      </c>
      <c r="S318" s="181" t="str">
        <f t="shared" ca="1" si="42"/>
        <v>US</v>
      </c>
      <c r="T318" s="181" t="str">
        <f ca="1">IF(B318="","",IF(ISERROR(MATCH($J318,SorP!$B$1:$B$6279,0)),"",INDIRECT("'SorP'!$A$"&amp;MATCH($S318&amp;$J318,SorP!C:C,0))))</f>
        <v>US-PA</v>
      </c>
      <c r="U318" s="201"/>
      <c r="V318" s="226">
        <f>IF(C318="",NA(),IF(OR(C318="Smelter not listed",C318="Smelter not yet identified"),MATCH($B318&amp;$D318,'Smelter Look-up'!$J:$J,0),MATCH($B318&amp;$C318,'Smelter Look-up'!$J:$J,0)))</f>
        <v>530</v>
      </c>
      <c r="X318" s="227">
        <f t="shared" si="43"/>
        <v>0</v>
      </c>
      <c r="AB318" s="228" t="str">
        <f t="shared" si="44"/>
        <v>TinTin Technology &amp; Refining</v>
      </c>
    </row>
    <row r="319" spans="1:28" s="227" customFormat="1" ht="51">
      <c r="A319" s="181" t="s">
        <v>15858</v>
      </c>
      <c r="B319" s="182" t="s">
        <v>1126</v>
      </c>
      <c r="C319" s="186" t="s">
        <v>1850</v>
      </c>
      <c r="D319" s="230" t="s">
        <v>15859</v>
      </c>
      <c r="E319" s="182" t="s">
        <v>1096</v>
      </c>
      <c r="F319" s="182" t="s">
        <v>15858</v>
      </c>
      <c r="G319" s="182" t="s">
        <v>13240</v>
      </c>
      <c r="H319" s="183" t="s">
        <v>15802</v>
      </c>
      <c r="I319" s="184" t="s">
        <v>15860</v>
      </c>
      <c r="J319" s="184" t="s">
        <v>13617</v>
      </c>
      <c r="K319" s="224"/>
      <c r="L319" s="224"/>
      <c r="M319" s="224"/>
      <c r="N319" s="224"/>
      <c r="O319" s="224"/>
      <c r="P319" s="185"/>
      <c r="Q319" s="225" t="s">
        <v>16013</v>
      </c>
      <c r="R319" s="182" t="str">
        <f ca="1">IF(ISERROR($V319),"",OFFSET('Smelter Look-up'!$C$4,$V319-4,0)&amp;"")</f>
        <v/>
      </c>
      <c r="S319" s="181" t="str">
        <f t="shared" ca="1" si="42"/>
        <v>CN</v>
      </c>
      <c r="T319" s="181" t="str">
        <f ca="1">IF(B319="","",IF(ISERROR(MATCH($J319,SorP!$B$1:$B$6279,0)),"",INDIRECT("'SorP'!$A$"&amp;MATCH($S319&amp;$J319,SorP!C:C,0))))</f>
        <v>CN-AH</v>
      </c>
      <c r="U319" s="201"/>
      <c r="V319" s="226" t="e">
        <f>IF(C319="",NA(),IF(OR(C319="Smelter not listed",C319="Smelter not yet identified"),MATCH($B319&amp;$D319,'Smelter Look-up'!$J:$J,0),MATCH($B319&amp;$C319,'Smelter Look-up'!$J:$J,0)))</f>
        <v>#N/A</v>
      </c>
      <c r="X319" s="227">
        <f t="shared" si="43"/>
        <v>0</v>
      </c>
      <c r="AB319" s="228" t="str">
        <f t="shared" si="44"/>
        <v>TinSmelter not listed</v>
      </c>
    </row>
    <row r="320" spans="1:28" s="227" customFormat="1" ht="51">
      <c r="A320" s="181" t="s">
        <v>15114</v>
      </c>
      <c r="B320" s="182" t="s">
        <v>1126</v>
      </c>
      <c r="C320" s="186" t="s">
        <v>15113</v>
      </c>
      <c r="D320" s="230"/>
      <c r="E320" s="182" t="s">
        <v>1101</v>
      </c>
      <c r="F320" s="182" t="s">
        <v>15114</v>
      </c>
      <c r="G320" s="182" t="s">
        <v>13240</v>
      </c>
      <c r="H320" s="183" t="s">
        <v>15802</v>
      </c>
      <c r="I320" s="184" t="s">
        <v>15149</v>
      </c>
      <c r="J320" s="184" t="s">
        <v>12852</v>
      </c>
      <c r="K320" s="224" t="s">
        <v>15802</v>
      </c>
      <c r="L320" s="224" t="s">
        <v>15802</v>
      </c>
      <c r="M320" s="224" t="s">
        <v>15802</v>
      </c>
      <c r="N320" s="224" t="s">
        <v>15802</v>
      </c>
      <c r="O320" s="224" t="s">
        <v>15886</v>
      </c>
      <c r="P320" s="185" t="s">
        <v>489</v>
      </c>
      <c r="Q320" s="225" t="s">
        <v>15802</v>
      </c>
      <c r="R320" s="182" t="str">
        <f ca="1">IF(ISERROR($V320),"",OFFSET('Smelter Look-up'!$C$4,$V320-4,0)&amp;"")</f>
        <v>PT Rajawali Rimba Perkasa</v>
      </c>
      <c r="S320" s="181" t="str">
        <f t="shared" ca="1" si="42"/>
        <v>ID</v>
      </c>
      <c r="T320" s="181" t="str">
        <f ca="1">IF(B320="","",IF(ISERROR(MATCH($J320,SorP!$B$1:$B$6279,0)),"",INDIRECT("'SorP'!$A$"&amp;MATCH($S320&amp;$J320,SorP!C:C,0))))</f>
        <v>ID-BB</v>
      </c>
      <c r="U320" s="201"/>
      <c r="V320" s="226">
        <f>IF(C320="",NA(),IF(OR(C320="Smelter not listed",C320="Smelter not yet identified"),MATCH($B320&amp;$D320,'Smelter Look-up'!$J:$J,0),MATCH($B320&amp;$C320,'Smelter Look-up'!$J:$J,0)))</f>
        <v>506</v>
      </c>
      <c r="X320" s="227">
        <f t="shared" si="43"/>
        <v>0</v>
      </c>
      <c r="AB320" s="228" t="str">
        <f t="shared" si="44"/>
        <v>TinPT Rajawali Rimba Perkasa</v>
      </c>
    </row>
    <row r="321" spans="1:28" s="227" customFormat="1" ht="51">
      <c r="A321" s="181" t="s">
        <v>13785</v>
      </c>
      <c r="B321" s="182" t="s">
        <v>1125</v>
      </c>
      <c r="C321" s="186" t="s">
        <v>13784</v>
      </c>
      <c r="D321" s="230"/>
      <c r="E321" s="182" t="s">
        <v>1102</v>
      </c>
      <c r="F321" s="182" t="s">
        <v>13785</v>
      </c>
      <c r="G321" s="182" t="s">
        <v>13240</v>
      </c>
      <c r="H321" s="183"/>
      <c r="I321" s="184" t="s">
        <v>13833</v>
      </c>
      <c r="J321" s="184" t="s">
        <v>6184</v>
      </c>
      <c r="K321" s="224"/>
      <c r="L321" s="224"/>
      <c r="M321" s="224"/>
      <c r="N321" s="224"/>
      <c r="O321" s="224"/>
      <c r="P321" s="185"/>
      <c r="Q321" s="225"/>
      <c r="R321" s="182" t="str">
        <f ca="1">IF(ISERROR($V321),"",OFFSET('Smelter Look-up'!$C$4,$V321-4,0)&amp;"")</f>
        <v>CGR Metalloys Pvt Ltd.</v>
      </c>
      <c r="S321" s="181" t="str">
        <f t="shared" ca="1" si="42"/>
        <v>IN</v>
      </c>
      <c r="T321" s="181" t="str">
        <f ca="1">IF(B321="","",IF(ISERROR(MATCH($J321,SorP!$B$1:$B$6279,0)),"",INDIRECT("'SorP'!$A$"&amp;MATCH($S321&amp;$J321,SorP!C:C,0))))</f>
        <v>IN-KL</v>
      </c>
      <c r="U321" s="201"/>
      <c r="V321" s="226">
        <f>IF(C321="",NA(),IF(OR(C321="Smelter not listed",C321="Smelter not yet identified"),MATCH($B321&amp;$D321,'Smelter Look-up'!$J:$J,0),MATCH($B321&amp;$C321,'Smelter Look-up'!$J:$J,0)))</f>
        <v>52</v>
      </c>
      <c r="X321" s="227">
        <f t="shared" si="43"/>
        <v>0</v>
      </c>
      <c r="AB321" s="228" t="str">
        <f t="shared" si="44"/>
        <v>GoldCGR Metalloys Pvt Ltd.</v>
      </c>
    </row>
    <row r="322" spans="1:28" s="227" customFormat="1" ht="38.25">
      <c r="A322" s="181" t="s">
        <v>13796</v>
      </c>
      <c r="B322" s="182" t="s">
        <v>1125</v>
      </c>
      <c r="C322" s="186" t="s">
        <v>13795</v>
      </c>
      <c r="D322" s="230"/>
      <c r="E322" s="182" t="s">
        <v>1102</v>
      </c>
      <c r="F322" s="182" t="s">
        <v>13796</v>
      </c>
      <c r="G322" s="182" t="s">
        <v>13240</v>
      </c>
      <c r="H322" s="183"/>
      <c r="I322" s="184" t="s">
        <v>15139</v>
      </c>
      <c r="J322" s="184" t="s">
        <v>15580</v>
      </c>
      <c r="K322" s="224"/>
      <c r="L322" s="224"/>
      <c r="M322" s="224"/>
      <c r="N322" s="224"/>
      <c r="O322" s="224"/>
      <c r="P322" s="185"/>
      <c r="Q322" s="225"/>
      <c r="R322" s="182" t="str">
        <f ca="1">IF(ISERROR($V322),"",OFFSET('Smelter Look-up'!$C$4,$V322-4,0)&amp;"")</f>
        <v>Sovereign Metals</v>
      </c>
      <c r="S322" s="181" t="str">
        <f t="shared" ca="1" si="42"/>
        <v>IN</v>
      </c>
      <c r="T322" s="181" t="str">
        <f ca="1">IF(B322="","",IF(ISERROR(MATCH($J322,SorP!$B$1:$B$6279,0)),"",INDIRECT("'SorP'!$A$"&amp;MATCH($S322&amp;$J322,SorP!C:C,0))))</f>
        <v>IN-GJ</v>
      </c>
      <c r="U322" s="201"/>
      <c r="V322" s="226">
        <f>IF(C322="",NA(),IF(OR(C322="Smelter not listed",C322="Smelter not yet identified"),MATCH($B322&amp;$D322,'Smelter Look-up'!$J:$J,0),MATCH($B322&amp;$C322,'Smelter Look-up'!$J:$J,0)))</f>
        <v>261</v>
      </c>
      <c r="X322" s="227">
        <f t="shared" si="43"/>
        <v>0</v>
      </c>
      <c r="AB322" s="228" t="str">
        <f t="shared" si="44"/>
        <v>GoldSovereign Metals</v>
      </c>
    </row>
    <row r="323" spans="1:28" s="227" customFormat="1" ht="38.25">
      <c r="A323" s="181" t="s">
        <v>13867</v>
      </c>
      <c r="B323" s="182" t="s">
        <v>1126</v>
      </c>
      <c r="C323" s="186" t="s">
        <v>13852</v>
      </c>
      <c r="D323" s="230"/>
      <c r="E323" s="182" t="s">
        <v>13105</v>
      </c>
      <c r="F323" s="182" t="s">
        <v>13867</v>
      </c>
      <c r="G323" s="182" t="s">
        <v>13240</v>
      </c>
      <c r="H323" s="183" t="s">
        <v>15802</v>
      </c>
      <c r="I323" s="184" t="s">
        <v>13879</v>
      </c>
      <c r="J323" s="184" t="s">
        <v>10065</v>
      </c>
      <c r="K323" s="224" t="s">
        <v>15802</v>
      </c>
      <c r="L323" s="224" t="s">
        <v>15802</v>
      </c>
      <c r="M323" s="224" t="s">
        <v>15885</v>
      </c>
      <c r="N323" s="224" t="s">
        <v>15802</v>
      </c>
      <c r="O323" s="224" t="s">
        <v>15887</v>
      </c>
      <c r="P323" s="185" t="s">
        <v>489</v>
      </c>
      <c r="Q323" s="225" t="s">
        <v>15802</v>
      </c>
      <c r="R323" s="182" t="str">
        <f ca="1">IF(ISERROR($V323),"",OFFSET('Smelter Look-up'!$C$4,$V323-4,0)&amp;"")</f>
        <v>Luna Smelter, Ltd.</v>
      </c>
      <c r="S323" s="181" t="str">
        <f t="shared" ca="1" si="42"/>
        <v>RW</v>
      </c>
      <c r="T323" s="181" t="str">
        <f ca="1">IF(B323="","",IF(ISERROR(MATCH($J323,SorP!$B$1:$B$6279,0)),"",INDIRECT("'SorP'!$A$"&amp;MATCH($S323&amp;$J323,SorP!C:C,0))))</f>
        <v>RW-01</v>
      </c>
      <c r="U323" s="201"/>
      <c r="V323" s="226">
        <f>IF(C323="",NA(),IF(OR(C323="Smelter not listed",C323="Smelter not yet identified"),MATCH($B323&amp;$D323,'Smelter Look-up'!$J:$J,0),MATCH($B323&amp;$C323,'Smelter Look-up'!$J:$J,0)))</f>
        <v>456</v>
      </c>
      <c r="X323" s="227">
        <f t="shared" si="43"/>
        <v>0</v>
      </c>
      <c r="AB323" s="228" t="str">
        <f t="shared" si="44"/>
        <v>TinLuna Smelter, Ltd.</v>
      </c>
    </row>
    <row r="324" spans="1:28" s="227" customFormat="1" ht="51">
      <c r="A324" s="181" t="s">
        <v>15877</v>
      </c>
      <c r="B324" s="182" t="s">
        <v>1126</v>
      </c>
      <c r="C324" s="186" t="s">
        <v>1850</v>
      </c>
      <c r="D324" s="230" t="s">
        <v>15878</v>
      </c>
      <c r="E324" s="182" t="s">
        <v>1107</v>
      </c>
      <c r="F324" s="182" t="s">
        <v>15877</v>
      </c>
      <c r="G324" s="182" t="s">
        <v>13240</v>
      </c>
      <c r="H324" s="183" t="s">
        <v>15802</v>
      </c>
      <c r="I324" s="184" t="s">
        <v>15879</v>
      </c>
      <c r="J324" s="184" t="s">
        <v>12871</v>
      </c>
      <c r="K324" s="224"/>
      <c r="L324" s="224"/>
      <c r="M324" s="224"/>
      <c r="N324" s="224"/>
      <c r="O324" s="224"/>
      <c r="P324" s="185"/>
      <c r="Q324" s="225" t="s">
        <v>15997</v>
      </c>
      <c r="R324" s="182" t="str">
        <f ca="1">IF(ISERROR($V324),"",OFFSET('Smelter Look-up'!$C$4,$V324-4,0)&amp;"")</f>
        <v/>
      </c>
      <c r="S324" s="181" t="str">
        <f t="shared" ca="1" si="42"/>
        <v>KR</v>
      </c>
      <c r="T324" s="181" t="str">
        <f ca="1">IF(B324="","",IF(ISERROR(MATCH($J324,SorP!$B$1:$B$6279,0)),"",INDIRECT("'SorP'!$A$"&amp;MATCH($S324&amp;$J324,SorP!C:C,0))))</f>
        <v>KR-41</v>
      </c>
      <c r="U324" s="201"/>
      <c r="V324" s="226" t="e">
        <f>IF(C324="",NA(),IF(OR(C324="Smelter not listed",C324="Smelter not yet identified"),MATCH($B324&amp;$D324,'Smelter Look-up'!$J:$J,0),MATCH($B324&amp;$C324,'Smelter Look-up'!$J:$J,0)))</f>
        <v>#N/A</v>
      </c>
      <c r="X324" s="227">
        <f t="shared" si="43"/>
        <v>0</v>
      </c>
      <c r="AB324" s="228" t="str">
        <f t="shared" si="44"/>
        <v>TinSmelter not listed</v>
      </c>
    </row>
    <row r="325" spans="1:28" s="227" customFormat="1" ht="102">
      <c r="A325" s="181" t="s">
        <v>13808</v>
      </c>
      <c r="B325" s="182" t="s">
        <v>1126</v>
      </c>
      <c r="C325" s="186" t="s">
        <v>13807</v>
      </c>
      <c r="D325" s="230"/>
      <c r="E325" s="182" t="s">
        <v>1096</v>
      </c>
      <c r="F325" s="182" t="s">
        <v>13808</v>
      </c>
      <c r="G325" s="182" t="s">
        <v>13240</v>
      </c>
      <c r="H325" s="183">
        <v>0</v>
      </c>
      <c r="I325" s="184" t="s">
        <v>2446</v>
      </c>
      <c r="J325" s="184" t="s">
        <v>13628</v>
      </c>
      <c r="K325" s="224"/>
      <c r="L325" s="224"/>
      <c r="M325" s="224"/>
      <c r="N325" s="224"/>
      <c r="O325" s="224"/>
      <c r="P325" s="185"/>
      <c r="Q325" s="225" t="s">
        <v>15815</v>
      </c>
      <c r="R325" s="182" t="str">
        <f ca="1">IF(ISERROR($V325),"",OFFSET('Smelter Look-up'!$C$4,$V325-4,0)&amp;"")</f>
        <v>Yunnan Yunfan Non-ferrous Metals Co., Ltd.</v>
      </c>
      <c r="S325" s="181" t="str">
        <f t="shared" ref="S325" ca="1" si="45">IF(B325="","",IF(ISERROR(MATCH($E325,CL,0)),"Unknown",INDIRECT("'C'!$A$"&amp;MATCH($E325,CL,0)+1)))</f>
        <v>CN</v>
      </c>
      <c r="T325" s="181" t="str">
        <f ca="1">IF(B325="","",IF(ISERROR(MATCH($J325,SorP!$B$1:$B$6279,0)),"",INDIRECT("'SorP'!$A$"&amp;MATCH($S325&amp;$J325,SorP!C:C,0))))</f>
        <v>CN-YN</v>
      </c>
      <c r="U325" s="201"/>
      <c r="V325" s="226">
        <f>IF(C325="",NA(),IF(OR(C325="Smelter not listed",C325="Smelter not yet identified"),MATCH($B325&amp;$D325,'Smelter Look-up'!$J:$J,0),MATCH($B325&amp;$C325,'Smelter Look-up'!$J:$J,0)))</f>
        <v>551</v>
      </c>
      <c r="X325" s="227">
        <f t="shared" ref="X325" si="46">IF(AND(C325="Smelter not listed",OR(LEN(D325)=0,LEN(E325)=0)),1,0)</f>
        <v>0</v>
      </c>
      <c r="AB325" s="228" t="str">
        <f t="shared" ref="AB325" si="47">B325&amp;C325</f>
        <v>TinYunnan Yunfan Non-ferrous Metals Co., Ltd.</v>
      </c>
    </row>
    <row r="326" spans="1:28" s="227" customFormat="1" ht="76.5">
      <c r="A326" s="181" t="s">
        <v>13815</v>
      </c>
      <c r="B326" s="182" t="s">
        <v>1128</v>
      </c>
      <c r="C326" s="186" t="s">
        <v>13814</v>
      </c>
      <c r="D326" s="230"/>
      <c r="E326" s="182" t="s">
        <v>1096</v>
      </c>
      <c r="F326" s="182" t="s">
        <v>13815</v>
      </c>
      <c r="G326" s="182" t="s">
        <v>13240</v>
      </c>
      <c r="H326" s="183" t="s">
        <v>15802</v>
      </c>
      <c r="I326" s="184" t="s">
        <v>13834</v>
      </c>
      <c r="J326" s="184" t="s">
        <v>13618</v>
      </c>
      <c r="K326" s="224" t="s">
        <v>15802</v>
      </c>
      <c r="L326" s="224" t="s">
        <v>15802</v>
      </c>
      <c r="M326" s="224" t="s">
        <v>15802</v>
      </c>
      <c r="N326" s="224" t="s">
        <v>15802</v>
      </c>
      <c r="O326" s="224" t="s">
        <v>15886</v>
      </c>
      <c r="P326" s="185" t="s">
        <v>489</v>
      </c>
      <c r="Q326" s="225" t="s">
        <v>15802</v>
      </c>
      <c r="R326" s="182" t="str">
        <f ca="1">IF(ISERROR($V326),"",OFFSET('Smelter Look-up'!$C$4,$V326-4,0)&amp;"")</f>
        <v>Fujian Ganmin RareMetal Co., Ltd.</v>
      </c>
      <c r="S326" s="181" t="str">
        <f t="shared" ref="S326:S357" ca="1" si="48">IF(B326="","",IF(ISERROR(MATCH($E326,CL,0)),"Unknown",INDIRECT("'C'!$A$"&amp;MATCH($E326,CL,0)+1)))</f>
        <v>CN</v>
      </c>
      <c r="T326" s="181" t="str">
        <f ca="1">IF(B326="","",IF(ISERROR(MATCH($J326,SorP!$B$1:$B$6279,0)),"",INDIRECT("'SorP'!$A$"&amp;MATCH($S326&amp;$J326,SorP!C:C,0))))</f>
        <v>CN-FJ</v>
      </c>
      <c r="U326" s="201"/>
      <c r="V326" s="226">
        <f>IF(C326="",NA(),IF(OR(C326="Smelter not listed",C326="Smelter not yet identified"),MATCH($B326&amp;$D326,'Smelter Look-up'!$J:$J,0),MATCH($B326&amp;$C326,'Smelter Look-up'!$J:$J,0)))</f>
        <v>577</v>
      </c>
      <c r="X326" s="227">
        <f t="shared" ref="X326:X357" si="49">IF(AND(C326="Smelter not listed",OR(LEN(D326)=0,LEN(E326)=0)),1,0)</f>
        <v>0</v>
      </c>
      <c r="AB326" s="228" t="str">
        <f t="shared" ref="AB326:AB357" si="50">B326&amp;C326</f>
        <v>TungstenFujian Ganmin RareMetal Co., Ltd.</v>
      </c>
    </row>
    <row r="327" spans="1:28" s="227" customFormat="1" ht="51">
      <c r="A327" s="181" t="s">
        <v>16014</v>
      </c>
      <c r="B327" s="182" t="s">
        <v>1127</v>
      </c>
      <c r="C327" s="186" t="s">
        <v>16015</v>
      </c>
      <c r="D327" s="230"/>
      <c r="E327" s="182" t="s">
        <v>2432</v>
      </c>
      <c r="F327" s="182" t="s">
        <v>16014</v>
      </c>
      <c r="G327" s="182" t="s">
        <v>13240</v>
      </c>
      <c r="H327" s="183">
        <v>0</v>
      </c>
      <c r="I327" s="184" t="s">
        <v>16016</v>
      </c>
      <c r="J327" s="184" t="s">
        <v>1635</v>
      </c>
      <c r="K327" s="224"/>
      <c r="L327" s="224"/>
      <c r="M327" s="224"/>
      <c r="N327" s="224"/>
      <c r="O327" s="224"/>
      <c r="P327" s="185" t="s">
        <v>488</v>
      </c>
      <c r="Q327" s="225"/>
      <c r="R327" s="182" t="str">
        <f ca="1">IF(ISERROR($V327),"",OFFSET('Smelter Look-up'!$C$4,$V327-4,0)&amp;"")</f>
        <v/>
      </c>
      <c r="S327" s="181" t="str">
        <f t="shared" ca="1" si="48"/>
        <v>US</v>
      </c>
      <c r="T327" s="181" t="str">
        <f ca="1">IF(B327="","",IF(ISERROR(MATCH($J327,SorP!$B$1:$B$6279,0)),"",INDIRECT("'SorP'!$A$"&amp;MATCH($S327&amp;$J327,SorP!C:C,0))))</f>
        <v>US-OH</v>
      </c>
      <c r="U327" s="201"/>
      <c r="V327" s="226" t="e">
        <f>IF(C327="",NA(),IF(OR(C327="Smelter not listed",C327="Smelter not yet identified"),MATCH($B327&amp;$D327,'Smelter Look-up'!$J:$J,0),MATCH($B327&amp;$C327,'Smelter Look-up'!$J:$J,0)))</f>
        <v>#N/A</v>
      </c>
      <c r="X327" s="227">
        <f t="shared" si="49"/>
        <v>0</v>
      </c>
      <c r="AB327" s="228" t="str">
        <f t="shared" si="50"/>
        <v>TantalumCP Metals Inc.</v>
      </c>
    </row>
    <row r="328" spans="1:28" s="227" customFormat="1" ht="63.75">
      <c r="A328" s="181" t="s">
        <v>13820</v>
      </c>
      <c r="B328" s="182" t="s">
        <v>1128</v>
      </c>
      <c r="C328" s="186" t="s">
        <v>13819</v>
      </c>
      <c r="D328" s="230"/>
      <c r="E328" s="182" t="s">
        <v>2431</v>
      </c>
      <c r="F328" s="182" t="s">
        <v>13820</v>
      </c>
      <c r="G328" s="182" t="s">
        <v>13240</v>
      </c>
      <c r="H328" s="183" t="s">
        <v>15802</v>
      </c>
      <c r="I328" s="184" t="s">
        <v>13831</v>
      </c>
      <c r="J328" s="184" t="s">
        <v>11484</v>
      </c>
      <c r="K328" s="224" t="s">
        <v>15802</v>
      </c>
      <c r="L328" s="224" t="s">
        <v>15802</v>
      </c>
      <c r="M328" s="224" t="s">
        <v>15802</v>
      </c>
      <c r="N328" s="224" t="s">
        <v>15802</v>
      </c>
      <c r="O328" s="224" t="s">
        <v>15891</v>
      </c>
      <c r="P328" s="185" t="s">
        <v>488</v>
      </c>
      <c r="Q328" s="225" t="s">
        <v>15802</v>
      </c>
      <c r="R328" s="182" t="str">
        <f ca="1">IF(ISERROR($V328),"",OFFSET('Smelter Look-up'!$C$4,$V328-4,0)&amp;"")</f>
        <v>Lianyou Metals Co., Ltd.</v>
      </c>
      <c r="S328" s="181" t="str">
        <f t="shared" ca="1" si="48"/>
        <v>TW</v>
      </c>
      <c r="T328" s="181" t="str">
        <f ca="1">IF(B328="","",IF(ISERROR(MATCH($J328,SorP!$B$1:$B$6279,0)),"",INDIRECT("'SorP'!$A$"&amp;MATCH($S328&amp;$J328,SorP!C:C,0))))</f>
        <v>TW-PIF</v>
      </c>
      <c r="U328" s="201"/>
      <c r="V328" s="226">
        <f>IF(C328="",NA(),IF(OR(C328="Smelter not listed",C328="Smelter not yet identified"),MATCH($B328&amp;$D328,'Smelter Look-up'!$J:$J,0),MATCH($B328&amp;$C328,'Smelter Look-up'!$J:$J,0)))</f>
        <v>613</v>
      </c>
      <c r="X328" s="227">
        <f t="shared" si="49"/>
        <v>0</v>
      </c>
      <c r="AB328" s="228" t="str">
        <f t="shared" si="50"/>
        <v>TungstenLianyou Metals Co., Ltd.</v>
      </c>
    </row>
    <row r="329" spans="1:28" s="227" customFormat="1" ht="76.5">
      <c r="A329" s="181" t="s">
        <v>13806</v>
      </c>
      <c r="B329" s="182" t="s">
        <v>1126</v>
      </c>
      <c r="C329" s="186" t="s">
        <v>13805</v>
      </c>
      <c r="D329" s="230"/>
      <c r="E329" s="182" t="s">
        <v>1102</v>
      </c>
      <c r="F329" s="182" t="s">
        <v>13806</v>
      </c>
      <c r="G329" s="182" t="s">
        <v>13240</v>
      </c>
      <c r="H329" s="183"/>
      <c r="I329" s="184" t="s">
        <v>13828</v>
      </c>
      <c r="J329" s="184" t="s">
        <v>15579</v>
      </c>
      <c r="K329" s="224"/>
      <c r="L329" s="224"/>
      <c r="M329" s="224"/>
      <c r="N329" s="224"/>
      <c r="O329" s="224"/>
      <c r="P329" s="185"/>
      <c r="Q329" s="225"/>
      <c r="R329" s="182" t="str">
        <f ca="1">IF(ISERROR($V329),"",OFFSET('Smelter Look-up'!$C$4,$V329-4,0)&amp;"")</f>
        <v>Precious Minerals and Smelting Limited</v>
      </c>
      <c r="S329" s="181" t="str">
        <f t="shared" ca="1" si="48"/>
        <v>IN</v>
      </c>
      <c r="T329" s="181" t="str">
        <f ca="1">IF(B329="","",IF(ISERROR(MATCH($J329,SorP!$B$1:$B$6279,0)),"",INDIRECT("'SorP'!$A$"&amp;MATCH($S329&amp;$J329,SorP!C:C,0))))</f>
        <v>IN-CT</v>
      </c>
      <c r="U329" s="201"/>
      <c r="V329" s="226">
        <f>IF(C329="",NA(),IF(OR(C329="Smelter not listed",C329="Smelter not yet identified"),MATCH($B329&amp;$D329,'Smelter Look-up'!$J:$J,0),MATCH($B329&amp;$C329,'Smelter Look-up'!$J:$J,0)))</f>
        <v>485</v>
      </c>
      <c r="X329" s="227">
        <f t="shared" si="49"/>
        <v>0</v>
      </c>
      <c r="AB329" s="228" t="str">
        <f t="shared" si="50"/>
        <v>TinPrecious Minerals and Smelting Limited</v>
      </c>
    </row>
    <row r="330" spans="1:28" s="227" customFormat="1" ht="102">
      <c r="A330" s="181" t="s">
        <v>13800</v>
      </c>
      <c r="B330" s="182" t="s">
        <v>1126</v>
      </c>
      <c r="C330" s="186" t="s">
        <v>13851</v>
      </c>
      <c r="D330" s="230"/>
      <c r="E330" s="182" t="s">
        <v>1096</v>
      </c>
      <c r="F330" s="182" t="s">
        <v>13800</v>
      </c>
      <c r="G330" s="182" t="s">
        <v>13240</v>
      </c>
      <c r="H330" s="183">
        <v>0</v>
      </c>
      <c r="I330" s="184" t="s">
        <v>2446</v>
      </c>
      <c r="J330" s="184" t="s">
        <v>13628</v>
      </c>
      <c r="K330" s="224"/>
      <c r="L330" s="224"/>
      <c r="M330" s="224"/>
      <c r="N330" s="224"/>
      <c r="O330" s="224"/>
      <c r="P330" s="185"/>
      <c r="Q330" s="225"/>
      <c r="R330" s="182" t="str">
        <f ca="1">IF(ISERROR($V330),"",OFFSET('Smelter Look-up'!$C$4,$V330-4,0)&amp;"")</f>
        <v>Gejiu City Fuxiang Industry and Trade Co., Ltd.</v>
      </c>
      <c r="S330" s="181" t="str">
        <f t="shared" ca="1" si="48"/>
        <v>CN</v>
      </c>
      <c r="T330" s="181" t="str">
        <f ca="1">IF(B330="","",IF(ISERROR(MATCH($J330,SorP!$B$1:$B$6279,0)),"",INDIRECT("'SorP'!$A$"&amp;MATCH($S330&amp;$J330,SorP!C:C,0))))</f>
        <v>CN-YN</v>
      </c>
      <c r="U330" s="201"/>
      <c r="V330" s="226">
        <f>IF(C330="",NA(),IF(OR(C330="Smelter not listed",C330="Smelter not yet identified"),MATCH($B330&amp;$D330,'Smelter Look-up'!$J:$J,0),MATCH($B330&amp;$C330,'Smelter Look-up'!$J:$J,0)))</f>
        <v>433</v>
      </c>
      <c r="X330" s="227">
        <f t="shared" si="49"/>
        <v>0</v>
      </c>
      <c r="AB330" s="228" t="str">
        <f t="shared" si="50"/>
        <v>TinGejiu City Fuxiang Industry and Trade Co., Ltd.</v>
      </c>
    </row>
    <row r="331" spans="1:28" s="227" customFormat="1" ht="140.25">
      <c r="A331" s="181" t="s">
        <v>13872</v>
      </c>
      <c r="B331" s="182" t="s">
        <v>1128</v>
      </c>
      <c r="C331" s="186" t="s">
        <v>15503</v>
      </c>
      <c r="D331" s="230"/>
      <c r="E331" s="182" t="s">
        <v>1096</v>
      </c>
      <c r="F331" s="182" t="s">
        <v>13872</v>
      </c>
      <c r="G331" s="182" t="s">
        <v>13240</v>
      </c>
      <c r="H331" s="183" t="s">
        <v>15802</v>
      </c>
      <c r="I331" s="184" t="s">
        <v>15138</v>
      </c>
      <c r="J331" s="184" t="s">
        <v>13624</v>
      </c>
      <c r="K331" s="224" t="s">
        <v>15802</v>
      </c>
      <c r="L331" s="224" t="s">
        <v>15802</v>
      </c>
      <c r="M331" s="224" t="s">
        <v>15802</v>
      </c>
      <c r="N331" s="224" t="s">
        <v>15802</v>
      </c>
      <c r="O331" s="224" t="s">
        <v>490</v>
      </c>
      <c r="P331" s="185" t="s">
        <v>15802</v>
      </c>
      <c r="Q331" s="225" t="s">
        <v>15802</v>
      </c>
      <c r="R331" s="182" t="str">
        <f ca="1">IF(ISERROR($V331),"",OFFSET('Smelter Look-up'!$C$4,$V331-4,0)&amp;"")</f>
        <v>Hubei Green Tungsten Co., Ltd.</v>
      </c>
      <c r="S331" s="181" t="str">
        <f t="shared" ca="1" si="48"/>
        <v>CN</v>
      </c>
      <c r="T331" s="181" t="str">
        <f ca="1">IF(B331="","",IF(ISERROR(MATCH($J331,SorP!$B$1:$B$6279,0)),"",INDIRECT("'SorP'!$A$"&amp;MATCH($S331&amp;$J331,SorP!C:C,0))))</f>
        <v>CN-GD</v>
      </c>
      <c r="U331" s="201"/>
      <c r="V331" s="226">
        <f>IF(C331="",NA(),IF(OR(C331="Smelter not listed",C331="Smelter not yet identified"),MATCH($B331&amp;$D331,'Smelter Look-up'!$J:$J,0),MATCH($B331&amp;$C331,'Smelter Look-up'!$J:$J,0)))</f>
        <v>609</v>
      </c>
      <c r="X331" s="227">
        <f t="shared" si="49"/>
        <v>0</v>
      </c>
      <c r="AB331" s="228" t="str">
        <f t="shared" si="50"/>
        <v>TungstenJingmen Dewei GEM Tungsten Resources Recycling Co., Ltd.</v>
      </c>
    </row>
    <row r="332" spans="1:28" s="227" customFormat="1" ht="89.25">
      <c r="A332" s="181" t="s">
        <v>13860</v>
      </c>
      <c r="B332" s="182" t="s">
        <v>1125</v>
      </c>
      <c r="C332" s="186" t="s">
        <v>13837</v>
      </c>
      <c r="D332" s="230"/>
      <c r="E332" s="182" t="s">
        <v>12986</v>
      </c>
      <c r="F332" s="182" t="s">
        <v>13860</v>
      </c>
      <c r="G332" s="182" t="s">
        <v>13240</v>
      </c>
      <c r="H332" s="183"/>
      <c r="I332" s="184" t="s">
        <v>13875</v>
      </c>
      <c r="J332" s="184" t="s">
        <v>3929</v>
      </c>
      <c r="K332" s="224"/>
      <c r="L332" s="224"/>
      <c r="M332" s="224"/>
      <c r="N332" s="224"/>
      <c r="O332" s="224"/>
      <c r="P332" s="185"/>
      <c r="Q332" s="225"/>
      <c r="R332" s="182" t="str">
        <f ca="1">IF(ISERROR($V332),"",OFFSET('Smelter Look-up'!$C$4,$V332-4,0)&amp;"")</f>
        <v>C.I Metales Procesados Industriales SAS</v>
      </c>
      <c r="S332" s="181" t="str">
        <f t="shared" ca="1" si="48"/>
        <v>CO</v>
      </c>
      <c r="T332" s="181" t="str">
        <f ca="1">IF(B332="","",IF(ISERROR(MATCH($J332,SorP!$B$1:$B$6279,0)),"",INDIRECT("'SorP'!$A$"&amp;MATCH($S332&amp;$J332,SorP!C:C,0))))</f>
        <v>CO-CUN</v>
      </c>
      <c r="U332" s="201"/>
      <c r="V332" s="226">
        <f>IF(C332="",NA(),IF(OR(C332="Smelter not listed",C332="Smelter not yet identified"),MATCH($B332&amp;$D332,'Smelter Look-up'!$J:$J,0),MATCH($B332&amp;$C332,'Smelter Look-up'!$J:$J,0)))</f>
        <v>44</v>
      </c>
      <c r="X332" s="227">
        <f t="shared" si="49"/>
        <v>0</v>
      </c>
      <c r="AB332" s="228" t="str">
        <f t="shared" si="50"/>
        <v>GoldC.I Metales Procesados Industriales SAS</v>
      </c>
    </row>
    <row r="333" spans="1:28" s="227" customFormat="1" ht="89.25">
      <c r="A333" s="181" t="s">
        <v>13861</v>
      </c>
      <c r="B333" s="182" t="s">
        <v>1125</v>
      </c>
      <c r="C333" s="186" t="s">
        <v>13840</v>
      </c>
      <c r="D333" s="230"/>
      <c r="E333" s="182" t="s">
        <v>1104</v>
      </c>
      <c r="F333" s="182" t="s">
        <v>13861</v>
      </c>
      <c r="G333" s="182" t="s">
        <v>13240</v>
      </c>
      <c r="H333" s="183" t="s">
        <v>15802</v>
      </c>
      <c r="I333" s="184" t="s">
        <v>13876</v>
      </c>
      <c r="J333" s="184" t="s">
        <v>1575</v>
      </c>
      <c r="K333" s="224" t="s">
        <v>15802</v>
      </c>
      <c r="L333" s="224" t="s">
        <v>15802</v>
      </c>
      <c r="M333" s="224" t="s">
        <v>15802</v>
      </c>
      <c r="N333" s="224" t="s">
        <v>15802</v>
      </c>
      <c r="O333" s="224" t="s">
        <v>15891</v>
      </c>
      <c r="P333" s="185" t="s">
        <v>488</v>
      </c>
      <c r="Q333" s="225" t="s">
        <v>15802</v>
      </c>
      <c r="R333" s="182" t="str">
        <f ca="1">IF(ISERROR($V333),"",OFFSET('Smelter Look-up'!$C$4,$V333-4,0)&amp;"")</f>
        <v>Eco-System Recycling Co., Ltd. North Plant</v>
      </c>
      <c r="S333" s="181" t="str">
        <f t="shared" ca="1" si="48"/>
        <v>JP</v>
      </c>
      <c r="T333" s="181" t="str">
        <f ca="1">IF(B333="","",IF(ISERROR(MATCH($J333,SorP!$B$1:$B$6279,0)),"",INDIRECT("'SorP'!$A$"&amp;MATCH($S333&amp;$J333,SorP!C:C,0))))</f>
        <v>JP-05</v>
      </c>
      <c r="U333" s="201"/>
      <c r="V333" s="226">
        <f>IF(C333="",NA(),IF(OR(C333="Smelter not listed",C333="Smelter not yet identified"),MATCH($B333&amp;$D333,'Smelter Look-up'!$J:$J,0),MATCH($B333&amp;$C333,'Smelter Look-up'!$J:$J,0)))</f>
        <v>73</v>
      </c>
      <c r="X333" s="227">
        <f t="shared" si="49"/>
        <v>0</v>
      </c>
      <c r="AB333" s="228" t="str">
        <f t="shared" si="50"/>
        <v>GoldEco-System Recycling Co., Ltd. North Plant</v>
      </c>
    </row>
    <row r="334" spans="1:28" s="227" customFormat="1" ht="89.25">
      <c r="A334" s="181" t="s">
        <v>13862</v>
      </c>
      <c r="B334" s="182" t="s">
        <v>1125</v>
      </c>
      <c r="C334" s="186" t="s">
        <v>13841</v>
      </c>
      <c r="D334" s="230"/>
      <c r="E334" s="182" t="s">
        <v>1104</v>
      </c>
      <c r="F334" s="182" t="s">
        <v>13862</v>
      </c>
      <c r="G334" s="182" t="s">
        <v>13240</v>
      </c>
      <c r="H334" s="183" t="s">
        <v>15802</v>
      </c>
      <c r="I334" s="184" t="s">
        <v>6687</v>
      </c>
      <c r="J334" s="184" t="s">
        <v>6687</v>
      </c>
      <c r="K334" s="224" t="s">
        <v>15802</v>
      </c>
      <c r="L334" s="224" t="s">
        <v>15802</v>
      </c>
      <c r="M334" s="224" t="s">
        <v>15802</v>
      </c>
      <c r="N334" s="224" t="s">
        <v>15802</v>
      </c>
      <c r="O334" s="224" t="s">
        <v>15891</v>
      </c>
      <c r="P334" s="185" t="s">
        <v>488</v>
      </c>
      <c r="Q334" s="225" t="s">
        <v>15802</v>
      </c>
      <c r="R334" s="182" t="str">
        <f ca="1">IF(ISERROR($V334),"",OFFSET('Smelter Look-up'!$C$4,$V334-4,0)&amp;"")</f>
        <v>Eco-System Recycling Co., Ltd. West Plant</v>
      </c>
      <c r="S334" s="181" t="str">
        <f t="shared" ca="1" si="48"/>
        <v>JP</v>
      </c>
      <c r="T334" s="181" t="str">
        <f ca="1">IF(B334="","",IF(ISERROR(MATCH($J334,SorP!$B$1:$B$6279,0)),"",INDIRECT("'SorP'!$A$"&amp;MATCH($S334&amp;$J334,SorP!C:C,0))))</f>
        <v>JP-33</v>
      </c>
      <c r="U334" s="201"/>
      <c r="V334" s="226">
        <f>IF(C334="",NA(),IF(OR(C334="Smelter not listed",C334="Smelter not yet identified"),MATCH($B334&amp;$D334,'Smelter Look-up'!$J:$J,0),MATCH($B334&amp;$C334,'Smelter Look-up'!$J:$J,0)))</f>
        <v>74</v>
      </c>
      <c r="X334" s="227">
        <f t="shared" si="49"/>
        <v>0</v>
      </c>
      <c r="AB334" s="228" t="str">
        <f t="shared" si="50"/>
        <v>GoldEco-System Recycling Co., Ltd. West Plant</v>
      </c>
    </row>
    <row r="335" spans="1:28" s="227" customFormat="1" ht="63.75">
      <c r="A335" s="181" t="s">
        <v>13868</v>
      </c>
      <c r="B335" s="182" t="s">
        <v>1126</v>
      </c>
      <c r="C335" s="186" t="s">
        <v>13853</v>
      </c>
      <c r="D335" s="230"/>
      <c r="E335" s="182" t="s">
        <v>1101</v>
      </c>
      <c r="F335" s="182" t="s">
        <v>13868</v>
      </c>
      <c r="G335" s="182" t="s">
        <v>13240</v>
      </c>
      <c r="H335" s="183" t="s">
        <v>15802</v>
      </c>
      <c r="I335" s="184" t="s">
        <v>15147</v>
      </c>
      <c r="J335" s="184" t="s">
        <v>12852</v>
      </c>
      <c r="K335" s="224" t="s">
        <v>15802</v>
      </c>
      <c r="L335" s="224" t="s">
        <v>15802</v>
      </c>
      <c r="M335" s="224" t="s">
        <v>15895</v>
      </c>
      <c r="N335" s="224" t="s">
        <v>15802</v>
      </c>
      <c r="O335" s="224" t="s">
        <v>15886</v>
      </c>
      <c r="P335" s="185" t="s">
        <v>489</v>
      </c>
      <c r="Q335" s="225" t="s">
        <v>15802</v>
      </c>
      <c r="R335" s="182" t="str">
        <f ca="1">IF(ISERROR($V335),"",OFFSET('Smelter Look-up'!$C$4,$V335-4,0)&amp;"")</f>
        <v>PT Mitra Sukses Globalindo</v>
      </c>
      <c r="S335" s="181" t="str">
        <f t="shared" ca="1" si="48"/>
        <v>ID</v>
      </c>
      <c r="T335" s="181" t="str">
        <f ca="1">IF(B335="","",IF(ISERROR(MATCH($J335,SorP!$B$1:$B$6279,0)),"",INDIRECT("'SorP'!$A$"&amp;MATCH($S335&amp;$J335,SorP!C:C,0))))</f>
        <v>ID-BB</v>
      </c>
      <c r="U335" s="201"/>
      <c r="V335" s="226">
        <f>IF(C335="",NA(),IF(OR(C335="Smelter not listed",C335="Smelter not yet identified"),MATCH($B335&amp;$D335,'Smelter Look-up'!$J:$J,0),MATCH($B335&amp;$C335,'Smelter Look-up'!$J:$J,0)))</f>
        <v>501</v>
      </c>
      <c r="X335" s="227">
        <f t="shared" si="49"/>
        <v>0</v>
      </c>
      <c r="AB335" s="228" t="str">
        <f t="shared" si="50"/>
        <v>TinPT Mitra Sukses Globalindo</v>
      </c>
    </row>
    <row r="336" spans="1:28" s="227" customFormat="1" ht="76.5">
      <c r="A336" s="181" t="s">
        <v>13859</v>
      </c>
      <c r="B336" s="182" t="s">
        <v>1125</v>
      </c>
      <c r="C336" s="186" t="s">
        <v>13836</v>
      </c>
      <c r="D336" s="230"/>
      <c r="E336" s="182" t="s">
        <v>1102</v>
      </c>
      <c r="F336" s="182" t="s">
        <v>13859</v>
      </c>
      <c r="G336" s="182" t="s">
        <v>13240</v>
      </c>
      <c r="H336" s="183"/>
      <c r="I336" s="184" t="s">
        <v>13874</v>
      </c>
      <c r="J336" s="184" t="s">
        <v>15445</v>
      </c>
      <c r="K336" s="224"/>
      <c r="L336" s="224"/>
      <c r="M336" s="224"/>
      <c r="N336" s="224"/>
      <c r="O336" s="224"/>
      <c r="P336" s="185"/>
      <c r="Q336" s="225"/>
      <c r="R336" s="182" t="str">
        <f ca="1">IF(ISERROR($V336),"",OFFSET('Smelter Look-up'!$C$4,$V336-4,0)&amp;"")</f>
        <v>Augmont Enterprises Private Limited</v>
      </c>
      <c r="S336" s="181" t="str">
        <f t="shared" ca="1" si="48"/>
        <v>IN</v>
      </c>
      <c r="T336" s="181" t="str">
        <f ca="1">IF(B336="","",IF(ISERROR(MATCH($J336,SorP!$B$1:$B$6279,0)),"",INDIRECT("'SorP'!$A$"&amp;MATCH($S336&amp;$J336,SorP!C:C,0))))</f>
        <v>IN-MH</v>
      </c>
      <c r="U336" s="201"/>
      <c r="V336" s="226">
        <f>IF(C336="",NA(),IF(OR(C336="Smelter not listed",C336="Smelter not yet identified"),MATCH($B336&amp;$D336,'Smelter Look-up'!$J:$J,0),MATCH($B336&amp;$C336,'Smelter Look-up'!$J:$J,0)))</f>
        <v>36</v>
      </c>
      <c r="X336" s="227">
        <f t="shared" si="49"/>
        <v>0</v>
      </c>
      <c r="AB336" s="228" t="str">
        <f t="shared" si="50"/>
        <v>GoldAugmont Enterprises Private Limited</v>
      </c>
    </row>
    <row r="337" spans="1:28" s="227" customFormat="1" ht="51">
      <c r="A337" s="181" t="s">
        <v>13871</v>
      </c>
      <c r="B337" s="182" t="s">
        <v>1128</v>
      </c>
      <c r="C337" s="186" t="s">
        <v>13856</v>
      </c>
      <c r="D337" s="230"/>
      <c r="E337" s="182" t="s">
        <v>1092</v>
      </c>
      <c r="F337" s="182" t="s">
        <v>13871</v>
      </c>
      <c r="G337" s="182" t="s">
        <v>13240</v>
      </c>
      <c r="H337" s="183" t="s">
        <v>15802</v>
      </c>
      <c r="I337" s="184" t="s">
        <v>13881</v>
      </c>
      <c r="J337" s="184" t="s">
        <v>3461</v>
      </c>
      <c r="K337" s="224" t="s">
        <v>15802</v>
      </c>
      <c r="L337" s="224" t="s">
        <v>15802</v>
      </c>
      <c r="M337" s="224" t="s">
        <v>15802</v>
      </c>
      <c r="N337" s="224" t="s">
        <v>15802</v>
      </c>
      <c r="O337" s="224" t="s">
        <v>15889</v>
      </c>
      <c r="P337" s="185" t="s">
        <v>489</v>
      </c>
      <c r="Q337" s="225" t="s">
        <v>15802</v>
      </c>
      <c r="R337" s="182" t="str">
        <f ca="1">IF(ISERROR($V337),"",OFFSET('Smelter Look-up'!$C$4,$V337-4,0)&amp;"")</f>
        <v>Cronimet Brasil Ltda</v>
      </c>
      <c r="S337" s="181" t="str">
        <f t="shared" ca="1" si="48"/>
        <v>BR</v>
      </c>
      <c r="T337" s="181" t="str">
        <f ca="1">IF(B337="","",IF(ISERROR(MATCH($J337,SorP!$B$1:$B$6279,0)),"",INDIRECT("'SorP'!$A$"&amp;MATCH($S337&amp;$J337,SorP!C:C,0))))</f>
        <v>BR-SC</v>
      </c>
      <c r="U337" s="201"/>
      <c r="V337" s="226">
        <f>IF(C337="",NA(),IF(OR(C337="Smelter not listed",C337="Smelter not yet identified"),MATCH($B337&amp;$D337,'Smelter Look-up'!$J:$J,0),MATCH($B337&amp;$C337,'Smelter Look-up'!$J:$J,0)))</f>
        <v>575</v>
      </c>
      <c r="X337" s="227">
        <f t="shared" si="49"/>
        <v>0</v>
      </c>
      <c r="AB337" s="228" t="str">
        <f t="shared" si="50"/>
        <v>TungstenCronimet Brasil Ltda</v>
      </c>
    </row>
    <row r="338" spans="1:28" s="227" customFormat="1" ht="153">
      <c r="A338" s="181" t="s">
        <v>15089</v>
      </c>
      <c r="B338" s="182" t="s">
        <v>1126</v>
      </c>
      <c r="C338" s="186" t="s">
        <v>15088</v>
      </c>
      <c r="D338" s="230"/>
      <c r="E338" s="182" t="s">
        <v>1092</v>
      </c>
      <c r="F338" s="182" t="s">
        <v>15089</v>
      </c>
      <c r="G338" s="182" t="s">
        <v>13240</v>
      </c>
      <c r="H338" s="183">
        <v>0</v>
      </c>
      <c r="I338" s="184" t="s">
        <v>15141</v>
      </c>
      <c r="J338" s="184" t="s">
        <v>3461</v>
      </c>
      <c r="K338" s="224"/>
      <c r="L338" s="224"/>
      <c r="M338" s="224"/>
      <c r="N338" s="224"/>
      <c r="O338" s="224"/>
      <c r="P338" s="185"/>
      <c r="Q338" s="225"/>
      <c r="R338" s="182" t="str">
        <f ca="1">IF(ISERROR($V338),"",OFFSET('Smelter Look-up'!$C$4,$V338-4,0)&amp;"")</f>
        <v>CRM Fundicao De Metais E Comercio De Equipamentos Eletronicos Do Brasil Ltda</v>
      </c>
      <c r="S338" s="181" t="str">
        <f t="shared" ca="1" si="48"/>
        <v>BR</v>
      </c>
      <c r="T338" s="181" t="str">
        <f ca="1">IF(B338="","",IF(ISERROR(MATCH($J338,SorP!$B$1:$B$6279,0)),"",INDIRECT("'SorP'!$A$"&amp;MATCH($S338&amp;$J338,SorP!C:C,0))))</f>
        <v>BR-SC</v>
      </c>
      <c r="U338" s="201"/>
      <c r="V338" s="226">
        <f>IF(C338="",NA(),IF(OR(C338="Smelter not listed",C338="Smelter not yet identified"),MATCH($B338&amp;$D338,'Smelter Look-up'!$J:$J,0),MATCH($B338&amp;$C338,'Smelter Look-up'!$J:$J,0)))</f>
        <v>409</v>
      </c>
      <c r="X338" s="227">
        <f t="shared" si="49"/>
        <v>0</v>
      </c>
      <c r="AB338" s="228" t="str">
        <f t="shared" si="50"/>
        <v>TinCRM Fundicao De Metais E Comercio De Equipamentos Eletronicos Do Brasil Ltda</v>
      </c>
    </row>
    <row r="339" spans="1:28" s="227" customFormat="1" ht="25.5">
      <c r="A339" s="181" t="s">
        <v>15046</v>
      </c>
      <c r="B339" s="182" t="s">
        <v>1125</v>
      </c>
      <c r="C339" s="186" t="s">
        <v>15045</v>
      </c>
      <c r="D339" s="230"/>
      <c r="E339" s="182" t="s">
        <v>2432</v>
      </c>
      <c r="F339" s="182" t="s">
        <v>15046</v>
      </c>
      <c r="G339" s="182" t="s">
        <v>13240</v>
      </c>
      <c r="H339" s="183">
        <v>0</v>
      </c>
      <c r="I339" s="184" t="s">
        <v>15131</v>
      </c>
      <c r="J339" s="184" t="s">
        <v>1635</v>
      </c>
      <c r="K339" s="224"/>
      <c r="L339" s="224"/>
      <c r="M339" s="224"/>
      <c r="N339" s="224"/>
      <c r="O339" s="224"/>
      <c r="P339" s="185"/>
      <c r="Q339" s="225"/>
      <c r="R339" s="182" t="str">
        <f ca="1">IF(ISERROR($V339),"",OFFSET('Smelter Look-up'!$C$4,$V339-4,0)&amp;"")</f>
        <v>Alexy Metals</v>
      </c>
      <c r="S339" s="181" t="str">
        <f t="shared" ca="1" si="48"/>
        <v>US</v>
      </c>
      <c r="T339" s="181" t="str">
        <f ca="1">IF(B339="","",IF(ISERROR(MATCH($J339,SorP!$B$1:$B$6279,0)),"",INDIRECT("'SorP'!$A$"&amp;MATCH($S339&amp;$J339,SorP!C:C,0))))</f>
        <v>US-OH</v>
      </c>
      <c r="U339" s="201"/>
      <c r="V339" s="226">
        <f>IF(C339="",NA(),IF(OR(C339="Smelter not listed",C339="Smelter not yet identified"),MATCH($B339&amp;$D339,'Smelter Look-up'!$J:$J,0),MATCH($B339&amp;$C339,'Smelter Look-up'!$J:$J,0)))</f>
        <v>18</v>
      </c>
      <c r="X339" s="227">
        <f t="shared" si="49"/>
        <v>0</v>
      </c>
      <c r="AB339" s="228" t="str">
        <f t="shared" si="50"/>
        <v>GoldAlexy Metals</v>
      </c>
    </row>
    <row r="340" spans="1:28" s="227" customFormat="1" ht="38.25">
      <c r="A340" s="181" t="s">
        <v>15092</v>
      </c>
      <c r="B340" s="182" t="s">
        <v>1126</v>
      </c>
      <c r="C340" s="186" t="s">
        <v>15091</v>
      </c>
      <c r="D340" s="230"/>
      <c r="E340" s="182" t="s">
        <v>1098</v>
      </c>
      <c r="F340" s="182" t="s">
        <v>15092</v>
      </c>
      <c r="G340" s="182" t="s">
        <v>13240</v>
      </c>
      <c r="H340" s="183" t="s">
        <v>15802</v>
      </c>
      <c r="I340" s="184" t="s">
        <v>3651</v>
      </c>
      <c r="J340" s="184" t="s">
        <v>3651</v>
      </c>
      <c r="K340" s="224" t="s">
        <v>15802</v>
      </c>
      <c r="L340" s="224" t="s">
        <v>15802</v>
      </c>
      <c r="M340" s="224" t="s">
        <v>15885</v>
      </c>
      <c r="N340" s="224" t="s">
        <v>15802</v>
      </c>
      <c r="O340" s="224" t="s">
        <v>15891</v>
      </c>
      <c r="P340" s="185" t="s">
        <v>488</v>
      </c>
      <c r="Q340" s="225" t="s">
        <v>15802</v>
      </c>
      <c r="R340" s="182" t="str">
        <f ca="1">IF(ISERROR($V340),"",OFFSET('Smelter Look-up'!$C$4,$V340-4,0)&amp;"")</f>
        <v>CRM Synergies</v>
      </c>
      <c r="S340" s="181" t="str">
        <f t="shared" ca="1" si="48"/>
        <v>ES</v>
      </c>
      <c r="T340" s="181" t="str">
        <f ca="1">IF(B340="","",IF(ISERROR(MATCH($J340,SorP!$B$1:$B$6279,0)),"",INDIRECT("'SorP'!$A$"&amp;MATCH($S340&amp;$J340,SorP!C:C,0))))</f>
        <v>ES-TO</v>
      </c>
      <c r="U340" s="201"/>
      <c r="V340" s="226">
        <f>IF(C340="",NA(),IF(OR(C340="Smelter not listed",C340="Smelter not yet identified"),MATCH($B340&amp;$D340,'Smelter Look-up'!$J:$J,0),MATCH($B340&amp;$C340,'Smelter Look-up'!$J:$J,0)))</f>
        <v>411</v>
      </c>
      <c r="X340" s="227">
        <f t="shared" si="49"/>
        <v>0</v>
      </c>
      <c r="AB340" s="228" t="str">
        <f t="shared" si="50"/>
        <v>TinCRM Synergies</v>
      </c>
    </row>
    <row r="341" spans="1:28" s="227" customFormat="1" ht="51">
      <c r="A341" s="181" t="s">
        <v>15070</v>
      </c>
      <c r="B341" s="182" t="s">
        <v>1125</v>
      </c>
      <c r="C341" s="186" t="s">
        <v>15069</v>
      </c>
      <c r="D341" s="230"/>
      <c r="E341" s="182" t="s">
        <v>12986</v>
      </c>
      <c r="F341" s="182" t="s">
        <v>15070</v>
      </c>
      <c r="G341" s="182" t="s">
        <v>13240</v>
      </c>
      <c r="H341" s="183">
        <v>0</v>
      </c>
      <c r="I341" s="184" t="s">
        <v>15136</v>
      </c>
      <c r="J341" s="184" t="s">
        <v>3959</v>
      </c>
      <c r="K341" s="224"/>
      <c r="L341" s="224"/>
      <c r="M341" s="224"/>
      <c r="N341" s="224"/>
      <c r="O341" s="224"/>
      <c r="P341" s="185"/>
      <c r="Q341" s="225"/>
      <c r="R341" s="182" t="str">
        <f ca="1">IF(ISERROR($V341),"",OFFSET('Smelter Look-up'!$C$4,$V341-4,0)&amp;"")</f>
        <v>Sancus ZFS (L’Orfebre, SA)</v>
      </c>
      <c r="S341" s="181" t="str">
        <f t="shared" ca="1" si="48"/>
        <v>CO</v>
      </c>
      <c r="T341" s="181" t="str">
        <f ca="1">IF(B341="","",IF(ISERROR(MATCH($J341,SorP!$B$1:$B$6279,0)),"",INDIRECT("'SorP'!$A$"&amp;MATCH($S341&amp;$J341,SorP!C:C,0))))</f>
        <v>CO-ATL</v>
      </c>
      <c r="U341" s="201"/>
      <c r="V341" s="226">
        <f>IF(C341="",NA(),IF(OR(C341="Smelter not listed",C341="Smelter not yet identified"),MATCH($B341&amp;$D341,'Smelter Look-up'!$J:$J,0),MATCH($B341&amp;$C341,'Smelter Look-up'!$J:$J,0)))</f>
        <v>231</v>
      </c>
      <c r="X341" s="227">
        <f t="shared" si="49"/>
        <v>0</v>
      </c>
      <c r="AB341" s="228" t="str">
        <f t="shared" si="50"/>
        <v>GoldSancus ZFS (L’Orfebre, SA)</v>
      </c>
    </row>
    <row r="342" spans="1:28" s="227" customFormat="1" ht="89.25">
      <c r="A342" s="181" t="s">
        <v>15066</v>
      </c>
      <c r="B342" s="182" t="s">
        <v>1125</v>
      </c>
      <c r="C342" s="186" t="s">
        <v>15065</v>
      </c>
      <c r="D342" s="230"/>
      <c r="E342" s="182" t="s">
        <v>889</v>
      </c>
      <c r="F342" s="182" t="s">
        <v>15066</v>
      </c>
      <c r="G342" s="182" t="s">
        <v>13240</v>
      </c>
      <c r="H342" s="183" t="s">
        <v>15802</v>
      </c>
      <c r="I342" s="184" t="s">
        <v>15454</v>
      </c>
      <c r="J342" s="184" t="s">
        <v>1644</v>
      </c>
      <c r="K342" s="224" t="s">
        <v>15802</v>
      </c>
      <c r="L342" s="224" t="s">
        <v>15802</v>
      </c>
      <c r="M342" s="224" t="s">
        <v>15802</v>
      </c>
      <c r="N342" s="224" t="s">
        <v>15802</v>
      </c>
      <c r="O342" s="224" t="s">
        <v>490</v>
      </c>
      <c r="P342" s="185" t="s">
        <v>15802</v>
      </c>
      <c r="Q342" s="225" t="s">
        <v>15802</v>
      </c>
      <c r="R342" s="182" t="str">
        <f ca="1">IF(ISERROR($V342),"",OFFSET('Smelter Look-up'!$C$4,$V342-4,0)&amp;"")</f>
        <v>Metal Concentrators SA (Pty) Ltd.</v>
      </c>
      <c r="S342" s="181" t="str">
        <f t="shared" ca="1" si="48"/>
        <v>ZA</v>
      </c>
      <c r="T342" s="181" t="str">
        <f ca="1">IF(B342="","",IF(ISERROR(MATCH($J342,SorP!$B$1:$B$6279,0)),"",INDIRECT("'SorP'!$A$"&amp;MATCH($S342&amp;$J342,SorP!C:C,0))))</f>
        <v>ZA-GP</v>
      </c>
      <c r="U342" s="201"/>
      <c r="V342" s="226">
        <f>IF(C342="",NA(),IF(OR(C342="Smelter not listed",C342="Smelter not yet identified"),MATCH($B342&amp;$D342,'Smelter Look-up'!$J:$J,0),MATCH($B342&amp;$C342,'Smelter Look-up'!$J:$J,0)))</f>
        <v>167</v>
      </c>
      <c r="X342" s="227">
        <f t="shared" si="49"/>
        <v>0</v>
      </c>
      <c r="AB342" s="228" t="str">
        <f t="shared" si="50"/>
        <v>GoldMetal Concentrators SA (Pty) Ltd.</v>
      </c>
    </row>
    <row r="343" spans="1:28" s="227" customFormat="1" ht="102">
      <c r="A343" s="181" t="s">
        <v>15100</v>
      </c>
      <c r="B343" s="182" t="s">
        <v>1126</v>
      </c>
      <c r="C343" s="186" t="s">
        <v>15099</v>
      </c>
      <c r="D343" s="230"/>
      <c r="E343" s="182" t="s">
        <v>1092</v>
      </c>
      <c r="F343" s="182" t="s">
        <v>15100</v>
      </c>
      <c r="G343" s="182" t="s">
        <v>13240</v>
      </c>
      <c r="H343" s="183" t="s">
        <v>15802</v>
      </c>
      <c r="I343" s="184" t="s">
        <v>15144</v>
      </c>
      <c r="J343" s="184" t="s">
        <v>1674</v>
      </c>
      <c r="K343" s="224" t="s">
        <v>15802</v>
      </c>
      <c r="L343" s="224" t="s">
        <v>15802</v>
      </c>
      <c r="M343" s="224" t="s">
        <v>15802</v>
      </c>
      <c r="N343" s="224" t="s">
        <v>15802</v>
      </c>
      <c r="O343" s="224" t="s">
        <v>15886</v>
      </c>
      <c r="P343" s="185" t="s">
        <v>489</v>
      </c>
      <c r="Q343" s="225" t="s">
        <v>15802</v>
      </c>
      <c r="R343" s="182" t="str">
        <f ca="1">IF(ISERROR($V343),"",OFFSET('Smelter Look-up'!$C$4,$V343-4,0)&amp;"")</f>
        <v>Fabrica Auricchio Industria e Comercio Ltda.</v>
      </c>
      <c r="S343" s="181" t="str">
        <f t="shared" ca="1" si="48"/>
        <v>BR</v>
      </c>
      <c r="T343" s="181" t="str">
        <f ca="1">IF(B343="","",IF(ISERROR(MATCH($J343,SorP!$B$1:$B$6279,0)),"",INDIRECT("'SorP'!$A$"&amp;MATCH($S343&amp;$J343,SorP!C:C,0))))</f>
        <v>BR-SP</v>
      </c>
      <c r="U343" s="201"/>
      <c r="V343" s="226">
        <f>IF(C343="",NA(),IF(OR(C343="Smelter not listed",C343="Smelter not yet identified"),MATCH($B343&amp;$D343,'Smelter Look-up'!$J:$J,0),MATCH($B343&amp;$C343,'Smelter Look-up'!$J:$J,0)))</f>
        <v>429</v>
      </c>
      <c r="X343" s="227">
        <f t="shared" si="49"/>
        <v>0</v>
      </c>
      <c r="AB343" s="228" t="str">
        <f t="shared" si="50"/>
        <v>TinFabrica Auricchio Industria e Comercio Ltda.</v>
      </c>
    </row>
    <row r="344" spans="1:28" s="227" customFormat="1" ht="114.75">
      <c r="A344" s="181" t="s">
        <v>15086</v>
      </c>
      <c r="B344" s="182" t="s">
        <v>1127</v>
      </c>
      <c r="C344" s="186" t="s">
        <v>15468</v>
      </c>
      <c r="D344" s="230"/>
      <c r="E344" s="182" t="s">
        <v>1096</v>
      </c>
      <c r="F344" s="182" t="s">
        <v>15086</v>
      </c>
      <c r="G344" s="182" t="s">
        <v>13240</v>
      </c>
      <c r="H344" s="183" t="s">
        <v>15802</v>
      </c>
      <c r="I344" s="184" t="s">
        <v>15140</v>
      </c>
      <c r="J344" s="184" t="s">
        <v>13632</v>
      </c>
      <c r="K344" s="224" t="s">
        <v>15802</v>
      </c>
      <c r="L344" s="224" t="s">
        <v>15802</v>
      </c>
      <c r="M344" s="224" t="s">
        <v>15802</v>
      </c>
      <c r="N344" s="224" t="s">
        <v>15802</v>
      </c>
      <c r="O344" s="224" t="s">
        <v>15886</v>
      </c>
      <c r="P344" s="185" t="s">
        <v>489</v>
      </c>
      <c r="Q344" s="225" t="s">
        <v>15802</v>
      </c>
      <c r="R344" s="182" t="str">
        <f ca="1">IF(ISERROR($V344),"",OFFSET('Smelter Look-up'!$C$4,$V344-4,0)&amp;"")</f>
        <v>RFH Yancheng Jinye New Material Technology Co., Ltd.</v>
      </c>
      <c r="S344" s="181" t="str">
        <f t="shared" ca="1" si="48"/>
        <v>CN</v>
      </c>
      <c r="T344" s="181" t="str">
        <f ca="1">IF(B344="","",IF(ISERROR(MATCH($J344,SorP!$B$1:$B$6279,0)),"",INDIRECT("'SorP'!$A$"&amp;MATCH($S344&amp;$J344,SorP!C:C,0))))</f>
        <v>CN-JS</v>
      </c>
      <c r="U344" s="201"/>
      <c r="V344" s="226">
        <f>IF(C344="",NA(),IF(OR(C344="Smelter not listed",C344="Smelter not yet identified"),MATCH($B344&amp;$D344,'Smelter Look-up'!$J:$J,0),MATCH($B344&amp;$C344,'Smelter Look-up'!$J:$J,0)))</f>
        <v>367</v>
      </c>
      <c r="X344" s="227">
        <f t="shared" si="49"/>
        <v>0</v>
      </c>
      <c r="AB344" s="228" t="str">
        <f t="shared" si="50"/>
        <v>TantalumRFH Yancheng Jinye New Material Technology Co., Ltd.</v>
      </c>
    </row>
    <row r="345" spans="1:28" s="227" customFormat="1" ht="63.75">
      <c r="A345" s="181" t="s">
        <v>15125</v>
      </c>
      <c r="B345" s="182" t="s">
        <v>1128</v>
      </c>
      <c r="C345" s="186" t="s">
        <v>15124</v>
      </c>
      <c r="D345" s="230"/>
      <c r="E345" s="182" t="s">
        <v>1096</v>
      </c>
      <c r="F345" s="182" t="s">
        <v>15125</v>
      </c>
      <c r="G345" s="182" t="s">
        <v>13240</v>
      </c>
      <c r="H345" s="183" t="s">
        <v>15802</v>
      </c>
      <c r="I345" s="184" t="s">
        <v>13834</v>
      </c>
      <c r="J345" s="184" t="s">
        <v>13618</v>
      </c>
      <c r="K345" s="224" t="s">
        <v>15802</v>
      </c>
      <c r="L345" s="224" t="s">
        <v>15802</v>
      </c>
      <c r="M345" s="224" t="s">
        <v>15802</v>
      </c>
      <c r="N345" s="224" t="s">
        <v>15802</v>
      </c>
      <c r="O345" s="224" t="s">
        <v>490</v>
      </c>
      <c r="P345" s="185" t="s">
        <v>15802</v>
      </c>
      <c r="Q345" s="225" t="s">
        <v>15802</v>
      </c>
      <c r="R345" s="182" t="str">
        <f ca="1">IF(ISERROR($V345),"",OFFSET('Smelter Look-up'!$C$4,$V345-4,0)&amp;"")</f>
        <v>Fujian Xinlu Tungsten Co., Ltd.</v>
      </c>
      <c r="S345" s="181" t="str">
        <f t="shared" ca="1" si="48"/>
        <v>CN</v>
      </c>
      <c r="T345" s="181" t="str">
        <f ca="1">IF(B345="","",IF(ISERROR(MATCH($J345,SorP!$B$1:$B$6279,0)),"",INDIRECT("'SorP'!$A$"&amp;MATCH($S345&amp;$J345,SorP!C:C,0))))</f>
        <v>CN-FJ</v>
      </c>
      <c r="U345" s="201"/>
      <c r="V345" s="226">
        <f>IF(C345="",NA(),IF(OR(C345="Smelter not listed",C345="Smelter not yet identified"),MATCH($B345&amp;$D345,'Smelter Look-up'!$J:$J,0),MATCH($B345&amp;$C345,'Smelter Look-up'!$J:$J,0)))</f>
        <v>578</v>
      </c>
      <c r="X345" s="227">
        <f t="shared" si="49"/>
        <v>0</v>
      </c>
      <c r="AB345" s="228" t="str">
        <f t="shared" si="50"/>
        <v>TungstenFujian Xinlu Tungsten</v>
      </c>
    </row>
    <row r="346" spans="1:28" s="227" customFormat="1" ht="38.25">
      <c r="A346" s="181" t="s">
        <v>15474</v>
      </c>
      <c r="B346" s="182" t="s">
        <v>1126</v>
      </c>
      <c r="C346" s="186" t="s">
        <v>15473</v>
      </c>
      <c r="D346" s="230"/>
      <c r="E346" s="182" t="s">
        <v>1110</v>
      </c>
      <c r="F346" s="182" t="s">
        <v>15474</v>
      </c>
      <c r="G346" s="182" t="s">
        <v>13240</v>
      </c>
      <c r="H346" s="183">
        <v>0</v>
      </c>
      <c r="I346" s="184" t="s">
        <v>8263</v>
      </c>
      <c r="J346" s="184" t="s">
        <v>8263</v>
      </c>
      <c r="K346" s="224"/>
      <c r="L346" s="224"/>
      <c r="M346" s="224"/>
      <c r="N346" s="224"/>
      <c r="O346" s="224"/>
      <c r="P346" s="185"/>
      <c r="Q346" s="225"/>
      <c r="R346" s="182" t="str">
        <f ca="1">IF(ISERROR($V346),"",OFFSET('Smelter Look-up'!$C$4,$V346-4,0)&amp;"")</f>
        <v>DS Myanmar</v>
      </c>
      <c r="S346" s="181" t="str">
        <f t="shared" ca="1" si="48"/>
        <v>MM</v>
      </c>
      <c r="T346" s="181" t="str">
        <f ca="1">IF(B346="","",IF(ISERROR(MATCH($J346,SorP!$B$1:$B$6279,0)),"",INDIRECT("'SorP'!$A$"&amp;MATCH($S346&amp;$J346,SorP!C:C,0))))</f>
        <v>MM-06</v>
      </c>
      <c r="U346" s="201"/>
      <c r="V346" s="226">
        <f>IF(C346="",NA(),IF(OR(C346="Smelter not listed",C346="Smelter not yet identified"),MATCH($B346&amp;$D346,'Smelter Look-up'!$J:$J,0),MATCH($B346&amp;$C346,'Smelter Look-up'!$J:$J,0)))</f>
        <v>419</v>
      </c>
      <c r="X346" s="227">
        <f t="shared" si="49"/>
        <v>0</v>
      </c>
      <c r="AB346" s="228" t="str">
        <f t="shared" si="50"/>
        <v>TinDS Myanmar</v>
      </c>
    </row>
    <row r="347" spans="1:28" s="227" customFormat="1" ht="76.5">
      <c r="A347" s="181" t="s">
        <v>15491</v>
      </c>
      <c r="B347" s="182" t="s">
        <v>1126</v>
      </c>
      <c r="C347" s="186" t="s">
        <v>15490</v>
      </c>
      <c r="D347" s="230"/>
      <c r="E347" s="182" t="s">
        <v>1101</v>
      </c>
      <c r="F347" s="182" t="s">
        <v>15491</v>
      </c>
      <c r="G347" s="182" t="s">
        <v>13240</v>
      </c>
      <c r="H347" s="183" t="s">
        <v>15802</v>
      </c>
      <c r="I347" s="184" t="s">
        <v>1767</v>
      </c>
      <c r="J347" s="184" t="s">
        <v>12852</v>
      </c>
      <c r="K347" s="224" t="s">
        <v>15802</v>
      </c>
      <c r="L347" s="224" t="s">
        <v>15802</v>
      </c>
      <c r="M347" s="224" t="s">
        <v>15802</v>
      </c>
      <c r="N347" s="224" t="s">
        <v>15802</v>
      </c>
      <c r="O347" s="224" t="s">
        <v>15886</v>
      </c>
      <c r="P347" s="185" t="s">
        <v>489</v>
      </c>
      <c r="Q347" s="225" t="s">
        <v>15802</v>
      </c>
      <c r="R347" s="182" t="str">
        <f ca="1">IF(ISERROR($V347),"",OFFSET('Smelter Look-up'!$C$4,$V347-4,0)&amp;"")</f>
        <v>PT Putera Sarana Shakti (PT PSS)</v>
      </c>
      <c r="S347" s="181" t="str">
        <f t="shared" ca="1" si="48"/>
        <v>ID</v>
      </c>
      <c r="T347" s="181" t="str">
        <f ca="1">IF(B347="","",IF(ISERROR(MATCH($J347,SorP!$B$1:$B$6279,0)),"",INDIRECT("'SorP'!$A$"&amp;MATCH($S347&amp;$J347,SorP!C:C,0))))</f>
        <v>ID-BB</v>
      </c>
      <c r="U347" s="201"/>
      <c r="V347" s="226">
        <f>IF(C347="",NA(),IF(OR(C347="Smelter not listed",C347="Smelter not yet identified"),MATCH($B347&amp;$D347,'Smelter Look-up'!$J:$J,0),MATCH($B347&amp;$C347,'Smelter Look-up'!$J:$J,0)))</f>
        <v>505</v>
      </c>
      <c r="X347" s="227">
        <f t="shared" si="49"/>
        <v>0</v>
      </c>
      <c r="AB347" s="228" t="str">
        <f t="shared" si="50"/>
        <v>TinPT Putera Sarana Shakti (PT PSS)</v>
      </c>
    </row>
    <row r="348" spans="1:28" s="227" customFormat="1" ht="20.25">
      <c r="A348" s="181"/>
      <c r="B348" s="182"/>
      <c r="C348" s="186"/>
      <c r="D348" s="230"/>
      <c r="E348" s="182"/>
      <c r="F348" s="182"/>
      <c r="G348" s="182"/>
      <c r="H348" s="183"/>
      <c r="I348" s="184"/>
      <c r="J348" s="184"/>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si="49"/>
        <v>0</v>
      </c>
      <c r="AB348" s="228" t="str">
        <f t="shared" si="50"/>
        <v/>
      </c>
    </row>
    <row r="349" spans="1:28" s="227" customFormat="1" ht="20.25">
      <c r="A349" s="181"/>
      <c r="B349" s="182"/>
      <c r="C349" s="186"/>
      <c r="D349" s="230"/>
      <c r="E349" s="182"/>
      <c r="F349" s="182"/>
      <c r="G349" s="182"/>
      <c r="H349" s="183"/>
      <c r="I349" s="184"/>
      <c r="J349" s="184"/>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si="49"/>
        <v>0</v>
      </c>
      <c r="AB349" s="228" t="str">
        <f t="shared" si="50"/>
        <v/>
      </c>
    </row>
    <row r="350" spans="1:28" s="227" customFormat="1" ht="20.25">
      <c r="A350" s="181"/>
      <c r="B350" s="182"/>
      <c r="C350" s="186"/>
      <c r="D350" s="230"/>
      <c r="E350" s="182"/>
      <c r="F350" s="182"/>
      <c r="G350" s="182"/>
      <c r="H350" s="183"/>
      <c r="I350" s="184"/>
      <c r="J350" s="184"/>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si="49"/>
        <v>0</v>
      </c>
      <c r="AB350" s="228" t="str">
        <f t="shared" si="50"/>
        <v/>
      </c>
    </row>
    <row r="351" spans="1:28" s="227" customFormat="1" ht="20.25">
      <c r="A351" s="181"/>
      <c r="B351" s="182"/>
      <c r="C351" s="186"/>
      <c r="D351" s="230"/>
      <c r="E351" s="182"/>
      <c r="F351" s="182"/>
      <c r="G351" s="182"/>
      <c r="H351" s="183"/>
      <c r="I351" s="184"/>
      <c r="J351" s="184"/>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si="49"/>
        <v>0</v>
      </c>
      <c r="AB351" s="228" t="str">
        <f t="shared" si="50"/>
        <v/>
      </c>
    </row>
    <row r="352" spans="1:28" s="227" customFormat="1" ht="20.25">
      <c r="A352" s="181"/>
      <c r="B352" s="182"/>
      <c r="C352" s="186"/>
      <c r="D352" s="230"/>
      <c r="E352" s="182"/>
      <c r="F352" s="182"/>
      <c r="G352" s="182"/>
      <c r="H352" s="183"/>
      <c r="I352" s="184"/>
      <c r="J352" s="184"/>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si="49"/>
        <v>0</v>
      </c>
      <c r="AB352" s="228" t="str">
        <f t="shared" si="50"/>
        <v/>
      </c>
    </row>
    <row r="353" spans="1:28" s="227" customFormat="1" ht="20.25">
      <c r="A353" s="181"/>
      <c r="B353" s="182"/>
      <c r="C353" s="186"/>
      <c r="D353" s="230"/>
      <c r="E353" s="182"/>
      <c r="F353" s="182"/>
      <c r="G353" s="182"/>
      <c r="H353" s="183"/>
      <c r="I353" s="184"/>
      <c r="J353" s="184"/>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si="49"/>
        <v>0</v>
      </c>
      <c r="AB353" s="228" t="str">
        <f t="shared" si="50"/>
        <v/>
      </c>
    </row>
    <row r="354" spans="1:28" s="227" customFormat="1" ht="20.25">
      <c r="A354" s="181"/>
      <c r="B354" s="182"/>
      <c r="C354" s="186"/>
      <c r="D354" s="230"/>
      <c r="E354" s="182"/>
      <c r="F354" s="182"/>
      <c r="G354" s="182"/>
      <c r="H354" s="183"/>
      <c r="I354" s="184"/>
      <c r="J354" s="184"/>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si="49"/>
        <v>0</v>
      </c>
      <c r="AB354" s="228" t="str">
        <f t="shared" si="50"/>
        <v/>
      </c>
    </row>
    <row r="355" spans="1:28" s="227" customFormat="1" ht="20.25">
      <c r="A355" s="181"/>
      <c r="B355" s="182"/>
      <c r="C355" s="186"/>
      <c r="D355" s="230"/>
      <c r="E355" s="182"/>
      <c r="F355" s="182"/>
      <c r="G355" s="182"/>
      <c r="H355" s="183"/>
      <c r="I355" s="184"/>
      <c r="J355" s="184"/>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si="49"/>
        <v>0</v>
      </c>
      <c r="AB355" s="228" t="str">
        <f t="shared" si="50"/>
        <v/>
      </c>
    </row>
    <row r="356" spans="1:28" s="227" customFormat="1" ht="20.25">
      <c r="A356" s="181"/>
      <c r="B356" s="182"/>
      <c r="C356" s="186"/>
      <c r="D356" s="230"/>
      <c r="E356" s="182"/>
      <c r="F356" s="182"/>
      <c r="G356" s="182"/>
      <c r="H356" s="183"/>
      <c r="I356" s="184"/>
      <c r="J356" s="184"/>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si="49"/>
        <v>0</v>
      </c>
      <c r="AB356" s="228" t="str">
        <f t="shared" si="50"/>
        <v/>
      </c>
    </row>
    <row r="357" spans="1:28" s="227" customFormat="1" ht="20.25">
      <c r="A357" s="181"/>
      <c r="B357" s="182"/>
      <c r="C357" s="186"/>
      <c r="D357" s="230"/>
      <c r="E357" s="182"/>
      <c r="F357" s="182"/>
      <c r="G357" s="182"/>
      <c r="H357" s="183"/>
      <c r="I357" s="184"/>
      <c r="J357" s="184"/>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si="49"/>
        <v>0</v>
      </c>
      <c r="AB357" s="228" t="str">
        <f t="shared" si="50"/>
        <v/>
      </c>
    </row>
    <row r="358" spans="1:28" s="227" customFormat="1" ht="20.25">
      <c r="A358" s="181"/>
      <c r="B358" s="182"/>
      <c r="C358" s="186"/>
      <c r="D358" s="230"/>
      <c r="E358" s="182"/>
      <c r="F358" s="182"/>
      <c r="G358" s="182"/>
      <c r="H358" s="183"/>
      <c r="I358" s="184"/>
      <c r="J358" s="184"/>
      <c r="K358" s="224"/>
      <c r="L358" s="224"/>
      <c r="M358" s="224"/>
      <c r="N358" s="224"/>
      <c r="O358" s="224"/>
      <c r="P358" s="185"/>
      <c r="Q358" s="225"/>
      <c r="R358" s="182" t="str">
        <f ca="1">IF(ISERROR($V358),"",OFFSET('Smelter Look-up'!$C$4,$V358-4,0)&amp;"")</f>
        <v/>
      </c>
      <c r="S358" s="181" t="str">
        <f t="shared" ref="S358:S388" ca="1" si="51">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si="52">IF(AND(C358="Smelter not listed",OR(LEN(D358)=0,LEN(E358)=0)),1,0)</f>
        <v>0</v>
      </c>
      <c r="AB358" s="228" t="str">
        <f t="shared" ref="AB358:AB388" si="53">B358&amp;C358</f>
        <v/>
      </c>
    </row>
    <row r="359" spans="1:28" s="227" customFormat="1" ht="20.25">
      <c r="A359" s="181"/>
      <c r="B359" s="182"/>
      <c r="C359" s="186"/>
      <c r="D359" s="230"/>
      <c r="E359" s="182"/>
      <c r="F359" s="182"/>
      <c r="G359" s="182"/>
      <c r="H359" s="183"/>
      <c r="I359" s="184"/>
      <c r="J359" s="184"/>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si="52"/>
        <v>0</v>
      </c>
      <c r="AB359" s="228" t="str">
        <f t="shared" si="53"/>
        <v/>
      </c>
    </row>
    <row r="360" spans="1:28" s="227" customFormat="1" ht="20.25">
      <c r="A360" s="181"/>
      <c r="B360" s="182"/>
      <c r="C360" s="186"/>
      <c r="D360" s="230"/>
      <c r="E360" s="182"/>
      <c r="F360" s="182"/>
      <c r="G360" s="182"/>
      <c r="H360" s="183"/>
      <c r="I360" s="184"/>
      <c r="J360" s="184"/>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si="52"/>
        <v>0</v>
      </c>
      <c r="AB360" s="228" t="str">
        <f t="shared" si="53"/>
        <v/>
      </c>
    </row>
    <row r="361" spans="1:28" s="227" customFormat="1" ht="20.25">
      <c r="A361" s="181"/>
      <c r="B361" s="182"/>
      <c r="C361" s="186"/>
      <c r="D361" s="230"/>
      <c r="E361" s="182"/>
      <c r="F361" s="182"/>
      <c r="G361" s="182"/>
      <c r="H361" s="183"/>
      <c r="I361" s="184"/>
      <c r="J361" s="184"/>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si="52"/>
        <v>0</v>
      </c>
      <c r="AB361" s="228" t="str">
        <f t="shared" si="53"/>
        <v/>
      </c>
    </row>
    <row r="362" spans="1:28" s="227" customFormat="1" ht="20.25">
      <c r="A362" s="181"/>
      <c r="B362" s="182"/>
      <c r="C362" s="186"/>
      <c r="D362" s="230"/>
      <c r="E362" s="182"/>
      <c r="F362" s="182"/>
      <c r="G362" s="182"/>
      <c r="H362" s="183"/>
      <c r="I362" s="184"/>
      <c r="J362" s="184"/>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si="52"/>
        <v>0</v>
      </c>
      <c r="AB362" s="228" t="str">
        <f t="shared" si="53"/>
        <v/>
      </c>
    </row>
    <row r="363" spans="1:28" s="227" customFormat="1" ht="20.25">
      <c r="A363" s="181"/>
      <c r="B363" s="182"/>
      <c r="C363" s="186"/>
      <c r="D363" s="230"/>
      <c r="E363" s="182"/>
      <c r="F363" s="182"/>
      <c r="G363" s="182"/>
      <c r="H363" s="183"/>
      <c r="I363" s="184"/>
      <c r="J363" s="184"/>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si="52"/>
        <v>0</v>
      </c>
      <c r="AB363" s="228" t="str">
        <f t="shared" si="53"/>
        <v/>
      </c>
    </row>
    <row r="364" spans="1:28" s="227" customFormat="1" ht="20.25">
      <c r="A364" s="181"/>
      <c r="B364" s="182"/>
      <c r="C364" s="186"/>
      <c r="D364" s="230"/>
      <c r="E364" s="182"/>
      <c r="F364" s="182"/>
      <c r="G364" s="182"/>
      <c r="H364" s="183"/>
      <c r="I364" s="184"/>
      <c r="J364" s="184"/>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si="52"/>
        <v>0</v>
      </c>
      <c r="AB364" s="228" t="str">
        <f t="shared" si="53"/>
        <v/>
      </c>
    </row>
    <row r="365" spans="1:28" s="227" customFormat="1" ht="20.25">
      <c r="A365" s="181"/>
      <c r="B365" s="182"/>
      <c r="C365" s="186"/>
      <c r="D365" s="230"/>
      <c r="E365" s="182"/>
      <c r="F365" s="182"/>
      <c r="G365" s="182"/>
      <c r="H365" s="183"/>
      <c r="I365" s="184"/>
      <c r="J365" s="184"/>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si="52"/>
        <v>0</v>
      </c>
      <c r="AB365" s="228" t="str">
        <f t="shared" si="53"/>
        <v/>
      </c>
    </row>
    <row r="366" spans="1:28" s="227" customFormat="1" ht="20.25">
      <c r="A366" s="181"/>
      <c r="B366" s="182"/>
      <c r="C366" s="186"/>
      <c r="D366" s="230"/>
      <c r="E366" s="182"/>
      <c r="F366" s="182"/>
      <c r="G366" s="182"/>
      <c r="H366" s="183"/>
      <c r="I366" s="184"/>
      <c r="J366" s="184"/>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si="52"/>
        <v>0</v>
      </c>
      <c r="AB366" s="228" t="str">
        <f t="shared" si="53"/>
        <v/>
      </c>
    </row>
    <row r="367" spans="1:28" s="227" customFormat="1" ht="20.25">
      <c r="A367" s="181"/>
      <c r="B367" s="182"/>
      <c r="C367" s="186"/>
      <c r="D367" s="230"/>
      <c r="E367" s="182"/>
      <c r="F367" s="182"/>
      <c r="G367" s="182"/>
      <c r="H367" s="183"/>
      <c r="I367" s="184"/>
      <c r="J367" s="184"/>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si="52"/>
        <v>0</v>
      </c>
      <c r="AB367" s="228" t="str">
        <f t="shared" si="53"/>
        <v/>
      </c>
    </row>
    <row r="368" spans="1:28" s="227" customFormat="1" ht="20.25">
      <c r="A368" s="181"/>
      <c r="B368" s="182"/>
      <c r="C368" s="186"/>
      <c r="D368" s="230"/>
      <c r="E368" s="182"/>
      <c r="F368" s="182"/>
      <c r="G368" s="182"/>
      <c r="H368" s="183"/>
      <c r="I368" s="184"/>
      <c r="J368" s="184"/>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si="52"/>
        <v>0</v>
      </c>
      <c r="AB368" s="228" t="str">
        <f t="shared" si="53"/>
        <v/>
      </c>
    </row>
    <row r="369" spans="1:28" s="227" customFormat="1" ht="20.25">
      <c r="A369" s="181"/>
      <c r="B369" s="182"/>
      <c r="C369" s="186"/>
      <c r="D369" s="230"/>
      <c r="E369" s="182"/>
      <c r="F369" s="182"/>
      <c r="G369" s="182"/>
      <c r="H369" s="183"/>
      <c r="I369" s="184"/>
      <c r="J369" s="184"/>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si="52"/>
        <v>0</v>
      </c>
      <c r="AB369" s="228" t="str">
        <f t="shared" si="53"/>
        <v/>
      </c>
    </row>
    <row r="370" spans="1:28" s="227" customFormat="1" ht="20.25">
      <c r="A370" s="181"/>
      <c r="B370" s="182"/>
      <c r="C370" s="186"/>
      <c r="D370" s="230"/>
      <c r="E370" s="182"/>
      <c r="F370" s="182"/>
      <c r="G370" s="182"/>
      <c r="H370" s="183"/>
      <c r="I370" s="184"/>
      <c r="J370" s="184"/>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si="52"/>
        <v>0</v>
      </c>
      <c r="AB370" s="228" t="str">
        <f t="shared" si="53"/>
        <v/>
      </c>
    </row>
    <row r="371" spans="1:28" s="227" customFormat="1" ht="20.25">
      <c r="A371" s="181"/>
      <c r="B371" s="182"/>
      <c r="C371" s="186"/>
      <c r="D371" s="230"/>
      <c r="E371" s="182"/>
      <c r="F371" s="182"/>
      <c r="G371" s="182"/>
      <c r="H371" s="183"/>
      <c r="I371" s="184"/>
      <c r="J371" s="184"/>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si="52"/>
        <v>0</v>
      </c>
      <c r="AB371" s="228" t="str">
        <f t="shared" si="53"/>
        <v/>
      </c>
    </row>
    <row r="372" spans="1:28" s="227" customFormat="1" ht="20.25">
      <c r="A372" s="181"/>
      <c r="B372" s="182"/>
      <c r="C372" s="186"/>
      <c r="D372" s="230"/>
      <c r="E372" s="182"/>
      <c r="F372" s="182"/>
      <c r="G372" s="182"/>
      <c r="H372" s="183"/>
      <c r="I372" s="184"/>
      <c r="J372" s="184"/>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si="52"/>
        <v>0</v>
      </c>
      <c r="AB372" s="228" t="str">
        <f t="shared" si="53"/>
        <v/>
      </c>
    </row>
    <row r="373" spans="1:28" s="227" customFormat="1" ht="20.25">
      <c r="A373" s="181"/>
      <c r="B373" s="182"/>
      <c r="C373" s="186"/>
      <c r="D373" s="230"/>
      <c r="E373" s="182"/>
      <c r="F373" s="182"/>
      <c r="G373" s="182"/>
      <c r="H373" s="183"/>
      <c r="I373" s="184"/>
      <c r="J373" s="184"/>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si="52"/>
        <v>0</v>
      </c>
      <c r="AB373" s="228" t="str">
        <f t="shared" si="53"/>
        <v/>
      </c>
    </row>
    <row r="374" spans="1:28" s="227" customFormat="1" ht="20.25">
      <c r="A374" s="181"/>
      <c r="B374" s="182"/>
      <c r="C374" s="186"/>
      <c r="D374" s="230"/>
      <c r="E374" s="182"/>
      <c r="F374" s="182"/>
      <c r="G374" s="182"/>
      <c r="H374" s="183"/>
      <c r="I374" s="184"/>
      <c r="J374" s="184"/>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si="52"/>
        <v>0</v>
      </c>
      <c r="AB374" s="228" t="str">
        <f t="shared" si="53"/>
        <v/>
      </c>
    </row>
    <row r="375" spans="1:28" s="227" customFormat="1" ht="20.25">
      <c r="A375" s="181"/>
      <c r="B375" s="182"/>
      <c r="C375" s="186"/>
      <c r="D375" s="230"/>
      <c r="E375" s="182"/>
      <c r="F375" s="182"/>
      <c r="G375" s="182"/>
      <c r="H375" s="183"/>
      <c r="I375" s="184"/>
      <c r="J375" s="184"/>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si="52"/>
        <v>0</v>
      </c>
      <c r="AB375" s="228" t="str">
        <f t="shared" si="53"/>
        <v/>
      </c>
    </row>
    <row r="376" spans="1:28" s="227" customFormat="1" ht="20.25">
      <c r="A376" s="181"/>
      <c r="B376" s="182"/>
      <c r="C376" s="186"/>
      <c r="D376" s="230"/>
      <c r="E376" s="182"/>
      <c r="F376" s="182"/>
      <c r="G376" s="182"/>
      <c r="H376" s="183"/>
      <c r="I376" s="184"/>
      <c r="J376" s="184"/>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si="52"/>
        <v>0</v>
      </c>
      <c r="AB376" s="228" t="str">
        <f t="shared" si="53"/>
        <v/>
      </c>
    </row>
    <row r="377" spans="1:28" s="227" customFormat="1" ht="20.25">
      <c r="A377" s="181"/>
      <c r="B377" s="182"/>
      <c r="C377" s="186"/>
      <c r="D377" s="230"/>
      <c r="E377" s="182"/>
      <c r="F377" s="182"/>
      <c r="G377" s="182"/>
      <c r="H377" s="183"/>
      <c r="I377" s="184"/>
      <c r="J377" s="184"/>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si="52"/>
        <v>0</v>
      </c>
      <c r="AB377" s="228" t="str">
        <f t="shared" si="53"/>
        <v/>
      </c>
    </row>
    <row r="378" spans="1:28" s="227" customFormat="1" ht="20.25">
      <c r="A378" s="181"/>
      <c r="B378" s="182"/>
      <c r="C378" s="186"/>
      <c r="D378" s="230"/>
      <c r="E378" s="182"/>
      <c r="F378" s="182"/>
      <c r="G378" s="182"/>
      <c r="H378" s="183"/>
      <c r="I378" s="184"/>
      <c r="J378" s="184"/>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si="52"/>
        <v>0</v>
      </c>
      <c r="AB378" s="228" t="str">
        <f t="shared" si="53"/>
        <v/>
      </c>
    </row>
    <row r="379" spans="1:28" s="227" customFormat="1" ht="20.25">
      <c r="A379" s="181"/>
      <c r="B379" s="182"/>
      <c r="C379" s="186"/>
      <c r="D379" s="230"/>
      <c r="E379" s="182"/>
      <c r="F379" s="182"/>
      <c r="G379" s="182"/>
      <c r="H379" s="183"/>
      <c r="I379" s="184"/>
      <c r="J379" s="184"/>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si="52"/>
        <v>0</v>
      </c>
      <c r="AB379" s="228" t="str">
        <f t="shared" si="53"/>
        <v/>
      </c>
    </row>
    <row r="380" spans="1:28" s="227" customFormat="1" ht="20.25">
      <c r="A380" s="181"/>
      <c r="B380" s="182"/>
      <c r="C380" s="186"/>
      <c r="D380" s="230"/>
      <c r="E380" s="182"/>
      <c r="F380" s="182"/>
      <c r="G380" s="182"/>
      <c r="H380" s="183"/>
      <c r="I380" s="184"/>
      <c r="J380" s="184"/>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si="52"/>
        <v>0</v>
      </c>
      <c r="AB380" s="228" t="str">
        <f t="shared" si="53"/>
        <v/>
      </c>
    </row>
    <row r="381" spans="1:28" s="227" customFormat="1" ht="20.25">
      <c r="A381" s="181"/>
      <c r="B381" s="182"/>
      <c r="C381" s="186"/>
      <c r="D381" s="230"/>
      <c r="E381" s="182"/>
      <c r="F381" s="182"/>
      <c r="G381" s="182"/>
      <c r="H381" s="183"/>
      <c r="I381" s="184"/>
      <c r="J381" s="184"/>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si="52"/>
        <v>0</v>
      </c>
      <c r="AB381" s="228" t="str">
        <f t="shared" si="53"/>
        <v/>
      </c>
    </row>
    <row r="382" spans="1:28" s="227" customFormat="1" ht="20.25">
      <c r="A382" s="181"/>
      <c r="B382" s="182"/>
      <c r="C382" s="186"/>
      <c r="D382" s="230"/>
      <c r="E382" s="182"/>
      <c r="F382" s="182"/>
      <c r="G382" s="182"/>
      <c r="H382" s="183"/>
      <c r="I382" s="184"/>
      <c r="J382" s="184"/>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si="52"/>
        <v>0</v>
      </c>
      <c r="AB382" s="228" t="str">
        <f t="shared" si="53"/>
        <v/>
      </c>
    </row>
    <row r="383" spans="1:28" s="227" customFormat="1" ht="20.25">
      <c r="A383" s="181"/>
      <c r="B383" s="182"/>
      <c r="C383" s="186"/>
      <c r="D383" s="230"/>
      <c r="E383" s="182"/>
      <c r="F383" s="182"/>
      <c r="G383" s="182"/>
      <c r="H383" s="183"/>
      <c r="I383" s="184"/>
      <c r="J383" s="184"/>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si="52"/>
        <v>0</v>
      </c>
      <c r="AB383" s="228" t="str">
        <f t="shared" si="53"/>
        <v/>
      </c>
    </row>
    <row r="384" spans="1:28" s="227" customFormat="1" ht="20.25">
      <c r="A384" s="181"/>
      <c r="B384" s="182"/>
      <c r="C384" s="186"/>
      <c r="D384" s="230"/>
      <c r="E384" s="182"/>
      <c r="F384" s="182"/>
      <c r="G384" s="182"/>
      <c r="H384" s="183"/>
      <c r="I384" s="184"/>
      <c r="J384" s="184"/>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si="52"/>
        <v>0</v>
      </c>
      <c r="AB384" s="228" t="str">
        <f t="shared" si="53"/>
        <v/>
      </c>
    </row>
    <row r="385" spans="1:28" s="227" customFormat="1" ht="20.25">
      <c r="A385" s="181"/>
      <c r="B385" s="182"/>
      <c r="C385" s="186"/>
      <c r="D385" s="230"/>
      <c r="E385" s="182"/>
      <c r="F385" s="182"/>
      <c r="G385" s="182"/>
      <c r="H385" s="183"/>
      <c r="I385" s="184"/>
      <c r="J385" s="184"/>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si="52"/>
        <v>0</v>
      </c>
      <c r="AB385" s="228" t="str">
        <f t="shared" si="53"/>
        <v/>
      </c>
    </row>
    <row r="386" spans="1:28" s="227" customFormat="1" ht="20.25">
      <c r="A386" s="181"/>
      <c r="B386" s="182"/>
      <c r="C386" s="186"/>
      <c r="D386" s="230"/>
      <c r="E386" s="182"/>
      <c r="F386" s="182"/>
      <c r="G386" s="182"/>
      <c r="H386" s="183"/>
      <c r="I386" s="184"/>
      <c r="J386" s="184"/>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si="52"/>
        <v>0</v>
      </c>
      <c r="AB386" s="228" t="str">
        <f t="shared" si="53"/>
        <v/>
      </c>
    </row>
    <row r="387" spans="1:28" s="227" customFormat="1" ht="20.25">
      <c r="A387" s="181"/>
      <c r="B387" s="182"/>
      <c r="C387" s="186"/>
      <c r="D387" s="230"/>
      <c r="E387" s="182"/>
      <c r="F387" s="182"/>
      <c r="G387" s="182"/>
      <c r="H387" s="183"/>
      <c r="I387" s="184"/>
      <c r="J387" s="184"/>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si="52"/>
        <v>0</v>
      </c>
      <c r="AB387" s="228" t="str">
        <f t="shared" si="53"/>
        <v/>
      </c>
    </row>
    <row r="388" spans="1:28" s="227" customFormat="1" ht="20.25">
      <c r="A388" s="181"/>
      <c r="B388" s="182"/>
      <c r="C388" s="186"/>
      <c r="D388" s="230"/>
      <c r="E388" s="182"/>
      <c r="F388" s="182"/>
      <c r="G388" s="182"/>
      <c r="H388" s="183"/>
      <c r="I388" s="184"/>
      <c r="J388" s="184"/>
      <c r="K388" s="224"/>
      <c r="L388" s="224"/>
      <c r="M388" s="224"/>
      <c r="N388" s="224"/>
      <c r="O388" s="224"/>
      <c r="P388" s="185"/>
      <c r="Q388" s="225"/>
      <c r="R388" s="182" t="str">
        <f ca="1">IF(ISERROR($V388),"",OFFSET('Smelter Look-up'!$C$4,$V388-4,0)&amp;"")</f>
        <v/>
      </c>
      <c r="S388" s="181" t="str">
        <f t="shared" ca="1" si="51"/>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si="52"/>
        <v>0</v>
      </c>
      <c r="AB388" s="228" t="str">
        <f t="shared" si="53"/>
        <v/>
      </c>
    </row>
    <row r="389" spans="1:28" s="227" customFormat="1" ht="20.25">
      <c r="A389" s="181"/>
      <c r="B389" s="182"/>
      <c r="C389" s="186"/>
      <c r="D389" s="230"/>
      <c r="E389" s="182"/>
      <c r="F389" s="182"/>
      <c r="G389" s="182"/>
      <c r="H389" s="183"/>
      <c r="I389" s="184"/>
      <c r="J389" s="184"/>
      <c r="K389" s="224"/>
      <c r="L389" s="224"/>
      <c r="M389" s="224"/>
      <c r="N389" s="224"/>
      <c r="O389" s="224"/>
      <c r="P389" s="185"/>
      <c r="Q389" s="225"/>
      <c r="R389" s="182" t="str">
        <f ca="1">IF(ISERROR($V389),"",OFFSET('Smelter Look-up'!$C$4,$V389-4,0)&amp;"")</f>
        <v/>
      </c>
      <c r="S389" s="181" t="str">
        <f t="shared" ref="S389" ca="1" si="54">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si="55">IF(AND(C389="Smelter not listed",OR(LEN(D389)=0,LEN(E389)=0)),1,0)</f>
        <v>0</v>
      </c>
      <c r="AB389" s="228" t="str">
        <f t="shared" ref="AB389" si="56">B389&amp;C389</f>
        <v/>
      </c>
    </row>
    <row r="390" spans="1:28" s="227" customFormat="1" ht="20.25">
      <c r="A390" s="181"/>
      <c r="B390" s="182"/>
      <c r="C390" s="186"/>
      <c r="D390" s="230"/>
      <c r="E390" s="182"/>
      <c r="F390" s="182"/>
      <c r="G390" s="182"/>
      <c r="H390" s="183"/>
      <c r="I390" s="184"/>
      <c r="J390" s="184"/>
      <c r="K390" s="224"/>
      <c r="L390" s="224"/>
      <c r="M390" s="224"/>
      <c r="N390" s="224"/>
      <c r="O390" s="224"/>
      <c r="P390" s="185"/>
      <c r="Q390" s="225"/>
      <c r="R390" s="182" t="str">
        <f ca="1">IF(ISERROR($V390),"",OFFSET('Smelter Look-up'!$C$4,$V390-4,0)&amp;"")</f>
        <v/>
      </c>
      <c r="S390" s="181" t="str">
        <f t="shared" ref="S390:S421" ca="1" si="57">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si="58">IF(AND(C390="Smelter not listed",OR(LEN(D390)=0,LEN(E390)=0)),1,0)</f>
        <v>0</v>
      </c>
      <c r="AB390" s="228" t="str">
        <f t="shared" ref="AB390:AB421" si="59">B390&amp;C390</f>
        <v/>
      </c>
    </row>
    <row r="391" spans="1:28" s="227" customFormat="1" ht="20.25">
      <c r="A391" s="181"/>
      <c r="B391" s="182"/>
      <c r="C391" s="186"/>
      <c r="D391" s="230"/>
      <c r="E391" s="182"/>
      <c r="F391" s="182"/>
      <c r="G391" s="182"/>
      <c r="H391" s="183"/>
      <c r="I391" s="184"/>
      <c r="J391" s="184"/>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si="58"/>
        <v>0</v>
      </c>
      <c r="AB391" s="228" t="str">
        <f t="shared" si="59"/>
        <v/>
      </c>
    </row>
    <row r="392" spans="1:28" s="227" customFormat="1" ht="20.25">
      <c r="A392" s="181"/>
      <c r="B392" s="182"/>
      <c r="C392" s="186"/>
      <c r="D392" s="230"/>
      <c r="E392" s="182"/>
      <c r="F392" s="182"/>
      <c r="G392" s="182"/>
      <c r="H392" s="183"/>
      <c r="I392" s="184"/>
      <c r="J392" s="184"/>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si="58"/>
        <v>0</v>
      </c>
      <c r="AB392" s="228" t="str">
        <f t="shared" si="59"/>
        <v/>
      </c>
    </row>
    <row r="393" spans="1:28" s="227" customFormat="1" ht="20.25">
      <c r="A393" s="181"/>
      <c r="B393" s="182"/>
      <c r="C393" s="186"/>
      <c r="D393" s="230"/>
      <c r="E393" s="182"/>
      <c r="F393" s="182"/>
      <c r="G393" s="182"/>
      <c r="H393" s="183"/>
      <c r="I393" s="184"/>
      <c r="J393" s="184"/>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si="58"/>
        <v>0</v>
      </c>
      <c r="AB393" s="228" t="str">
        <f t="shared" si="59"/>
        <v/>
      </c>
    </row>
    <row r="394" spans="1:28" s="227" customFormat="1" ht="20.25">
      <c r="A394" s="181"/>
      <c r="B394" s="182"/>
      <c r="C394" s="186"/>
      <c r="D394" s="230"/>
      <c r="E394" s="182"/>
      <c r="F394" s="182"/>
      <c r="G394" s="182"/>
      <c r="H394" s="183"/>
      <c r="I394" s="184"/>
      <c r="J394" s="184"/>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si="58"/>
        <v>0</v>
      </c>
      <c r="AB394" s="228" t="str">
        <f t="shared" si="59"/>
        <v/>
      </c>
    </row>
    <row r="395" spans="1:28" s="227" customFormat="1" ht="20.25">
      <c r="A395" s="181"/>
      <c r="B395" s="182"/>
      <c r="C395" s="186"/>
      <c r="D395" s="230"/>
      <c r="E395" s="182"/>
      <c r="F395" s="182"/>
      <c r="G395" s="182"/>
      <c r="H395" s="183"/>
      <c r="I395" s="184"/>
      <c r="J395" s="184"/>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si="58"/>
        <v>0</v>
      </c>
      <c r="AB395" s="228" t="str">
        <f t="shared" si="59"/>
        <v/>
      </c>
    </row>
    <row r="396" spans="1:28" s="227" customFormat="1" ht="20.25">
      <c r="A396" s="181"/>
      <c r="B396" s="182"/>
      <c r="C396" s="186"/>
      <c r="D396" s="230"/>
      <c r="E396" s="182"/>
      <c r="F396" s="182"/>
      <c r="G396" s="182"/>
      <c r="H396" s="183"/>
      <c r="I396" s="184"/>
      <c r="J396" s="184"/>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si="58"/>
        <v>0</v>
      </c>
      <c r="AB396" s="228" t="str">
        <f t="shared" si="59"/>
        <v/>
      </c>
    </row>
    <row r="397" spans="1:28" s="227" customFormat="1" ht="20.25">
      <c r="A397" s="181"/>
      <c r="B397" s="182"/>
      <c r="C397" s="186"/>
      <c r="D397" s="230"/>
      <c r="E397" s="182"/>
      <c r="F397" s="182"/>
      <c r="G397" s="182"/>
      <c r="H397" s="183"/>
      <c r="I397" s="184"/>
      <c r="J397" s="184"/>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si="58"/>
        <v>0</v>
      </c>
      <c r="AB397" s="228" t="str">
        <f t="shared" si="59"/>
        <v/>
      </c>
    </row>
    <row r="398" spans="1:28" s="227" customFormat="1" ht="20.25">
      <c r="A398" s="181"/>
      <c r="B398" s="182"/>
      <c r="C398" s="186"/>
      <c r="D398" s="230"/>
      <c r="E398" s="182"/>
      <c r="F398" s="182"/>
      <c r="G398" s="182"/>
      <c r="H398" s="183"/>
      <c r="I398" s="184"/>
      <c r="J398" s="184"/>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si="58"/>
        <v>0</v>
      </c>
      <c r="AB398" s="228" t="str">
        <f t="shared" si="59"/>
        <v/>
      </c>
    </row>
    <row r="399" spans="1:28" s="227" customFormat="1" ht="20.25">
      <c r="A399" s="181"/>
      <c r="B399" s="182"/>
      <c r="C399" s="186"/>
      <c r="D399" s="230"/>
      <c r="E399" s="182"/>
      <c r="F399" s="182"/>
      <c r="G399" s="182"/>
      <c r="H399" s="183"/>
      <c r="I399" s="184"/>
      <c r="J399" s="184"/>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si="58"/>
        <v>0</v>
      </c>
      <c r="AB399" s="228" t="str">
        <f t="shared" si="59"/>
        <v/>
      </c>
    </row>
    <row r="400" spans="1:28" s="227" customFormat="1" ht="20.25">
      <c r="A400" s="181"/>
      <c r="B400" s="182"/>
      <c r="C400" s="186"/>
      <c r="D400" s="230"/>
      <c r="E400" s="182"/>
      <c r="F400" s="182"/>
      <c r="G400" s="182"/>
      <c r="H400" s="183"/>
      <c r="I400" s="184"/>
      <c r="J400" s="184"/>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si="58"/>
        <v>0</v>
      </c>
      <c r="AB400" s="228" t="str">
        <f t="shared" si="59"/>
        <v/>
      </c>
    </row>
    <row r="401" spans="1:28" s="227" customFormat="1" ht="20.25">
      <c r="A401" s="181"/>
      <c r="B401" s="182"/>
      <c r="C401" s="186"/>
      <c r="D401" s="230"/>
      <c r="E401" s="182"/>
      <c r="F401" s="182"/>
      <c r="G401" s="182"/>
      <c r="H401" s="183"/>
      <c r="I401" s="184"/>
      <c r="J401" s="184"/>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si="58"/>
        <v>0</v>
      </c>
      <c r="AB401" s="228" t="str">
        <f t="shared" si="59"/>
        <v/>
      </c>
    </row>
    <row r="402" spans="1:28" s="227" customFormat="1" ht="20.25">
      <c r="A402" s="181"/>
      <c r="B402" s="182"/>
      <c r="C402" s="186"/>
      <c r="D402" s="230"/>
      <c r="E402" s="182"/>
      <c r="F402" s="182"/>
      <c r="G402" s="182"/>
      <c r="H402" s="183"/>
      <c r="I402" s="184"/>
      <c r="J402" s="184"/>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si="58"/>
        <v>0</v>
      </c>
      <c r="AB402" s="228" t="str">
        <f t="shared" si="59"/>
        <v/>
      </c>
    </row>
    <row r="403" spans="1:28" s="227" customFormat="1" ht="20.25">
      <c r="A403" s="181"/>
      <c r="B403" s="182"/>
      <c r="C403" s="186"/>
      <c r="D403" s="230"/>
      <c r="E403" s="182"/>
      <c r="F403" s="182"/>
      <c r="G403" s="182"/>
      <c r="H403" s="183"/>
      <c r="I403" s="184"/>
      <c r="J403" s="184"/>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si="58"/>
        <v>0</v>
      </c>
      <c r="AB403" s="228" t="str">
        <f t="shared" si="59"/>
        <v/>
      </c>
    </row>
    <row r="404" spans="1:28" s="227" customFormat="1" ht="20.25">
      <c r="A404" s="181"/>
      <c r="B404" s="182"/>
      <c r="C404" s="186"/>
      <c r="D404" s="230"/>
      <c r="E404" s="182"/>
      <c r="F404" s="182"/>
      <c r="G404" s="182"/>
      <c r="H404" s="183"/>
      <c r="I404" s="184"/>
      <c r="J404" s="184"/>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si="58"/>
        <v>0</v>
      </c>
      <c r="AB404" s="228" t="str">
        <f t="shared" si="59"/>
        <v/>
      </c>
    </row>
    <row r="405" spans="1:28" s="227" customFormat="1" ht="20.25">
      <c r="A405" s="181"/>
      <c r="B405" s="182"/>
      <c r="C405" s="186"/>
      <c r="D405" s="230"/>
      <c r="E405" s="182"/>
      <c r="F405" s="182"/>
      <c r="G405" s="182"/>
      <c r="H405" s="183"/>
      <c r="I405" s="184"/>
      <c r="J405" s="184"/>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si="58"/>
        <v>0</v>
      </c>
      <c r="AB405" s="228" t="str">
        <f t="shared" si="59"/>
        <v/>
      </c>
    </row>
    <row r="406" spans="1:28" s="227" customFormat="1" ht="20.25">
      <c r="A406" s="181"/>
      <c r="B406" s="182"/>
      <c r="C406" s="186"/>
      <c r="D406" s="230"/>
      <c r="E406" s="182"/>
      <c r="F406" s="182"/>
      <c r="G406" s="182"/>
      <c r="H406" s="183"/>
      <c r="I406" s="184"/>
      <c r="J406" s="184"/>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si="58"/>
        <v>0</v>
      </c>
      <c r="AB406" s="228" t="str">
        <f t="shared" si="59"/>
        <v/>
      </c>
    </row>
    <row r="407" spans="1:28" s="227" customFormat="1" ht="20.25">
      <c r="A407" s="181"/>
      <c r="B407" s="182"/>
      <c r="C407" s="186"/>
      <c r="D407" s="230"/>
      <c r="E407" s="182"/>
      <c r="F407" s="182"/>
      <c r="G407" s="182"/>
      <c r="H407" s="183"/>
      <c r="I407" s="184"/>
      <c r="J407" s="184"/>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si="58"/>
        <v>0</v>
      </c>
      <c r="AB407" s="228" t="str">
        <f t="shared" si="59"/>
        <v/>
      </c>
    </row>
    <row r="408" spans="1:28" s="227" customFormat="1" ht="20.25">
      <c r="A408" s="181"/>
      <c r="B408" s="182"/>
      <c r="C408" s="186"/>
      <c r="D408" s="230"/>
      <c r="E408" s="182"/>
      <c r="F408" s="182"/>
      <c r="G408" s="182"/>
      <c r="H408" s="183"/>
      <c r="I408" s="184"/>
      <c r="J408" s="184"/>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si="58"/>
        <v>0</v>
      </c>
      <c r="AB408" s="228" t="str">
        <f t="shared" si="59"/>
        <v/>
      </c>
    </row>
    <row r="409" spans="1:28" s="227" customFormat="1" ht="20.25">
      <c r="A409" s="181"/>
      <c r="B409" s="182"/>
      <c r="C409" s="186"/>
      <c r="D409" s="230"/>
      <c r="E409" s="182"/>
      <c r="F409" s="182"/>
      <c r="G409" s="182"/>
      <c r="H409" s="183"/>
      <c r="I409" s="184"/>
      <c r="J409" s="184"/>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si="58"/>
        <v>0</v>
      </c>
      <c r="AB409" s="228" t="str">
        <f t="shared" si="59"/>
        <v/>
      </c>
    </row>
    <row r="410" spans="1:28" s="227" customFormat="1" ht="20.25">
      <c r="A410" s="181"/>
      <c r="B410" s="182"/>
      <c r="C410" s="186"/>
      <c r="D410" s="230"/>
      <c r="E410" s="182"/>
      <c r="F410" s="182"/>
      <c r="G410" s="182"/>
      <c r="H410" s="183"/>
      <c r="I410" s="184"/>
      <c r="J410" s="184"/>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si="58"/>
        <v>0</v>
      </c>
      <c r="AB410" s="228" t="str">
        <f t="shared" si="59"/>
        <v/>
      </c>
    </row>
    <row r="411" spans="1:28" s="227" customFormat="1" ht="20.25">
      <c r="A411" s="181"/>
      <c r="B411" s="182"/>
      <c r="C411" s="186"/>
      <c r="D411" s="230"/>
      <c r="E411" s="182"/>
      <c r="F411" s="182"/>
      <c r="G411" s="182"/>
      <c r="H411" s="183"/>
      <c r="I411" s="184"/>
      <c r="J411" s="184"/>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si="58"/>
        <v>0</v>
      </c>
      <c r="AB411" s="228" t="str">
        <f t="shared" si="59"/>
        <v/>
      </c>
    </row>
    <row r="412" spans="1:28" s="227" customFormat="1" ht="20.25">
      <c r="A412" s="181"/>
      <c r="B412" s="182"/>
      <c r="C412" s="186"/>
      <c r="D412" s="230"/>
      <c r="E412" s="182"/>
      <c r="F412" s="182"/>
      <c r="G412" s="182"/>
      <c r="H412" s="183"/>
      <c r="I412" s="184"/>
      <c r="J412" s="184"/>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si="58"/>
        <v>0</v>
      </c>
      <c r="AB412" s="228" t="str">
        <f t="shared" si="59"/>
        <v/>
      </c>
    </row>
    <row r="413" spans="1:28" s="227" customFormat="1" ht="20.25">
      <c r="A413" s="181"/>
      <c r="B413" s="182"/>
      <c r="C413" s="186"/>
      <c r="D413" s="230"/>
      <c r="E413" s="182"/>
      <c r="F413" s="182"/>
      <c r="G413" s="182"/>
      <c r="H413" s="183"/>
      <c r="I413" s="184"/>
      <c r="J413" s="184"/>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si="58"/>
        <v>0</v>
      </c>
      <c r="AB413" s="228" t="str">
        <f t="shared" si="59"/>
        <v/>
      </c>
    </row>
    <row r="414" spans="1:28" s="227" customFormat="1" ht="20.25">
      <c r="A414" s="181"/>
      <c r="B414" s="182"/>
      <c r="C414" s="186"/>
      <c r="D414" s="230"/>
      <c r="E414" s="182"/>
      <c r="F414" s="182"/>
      <c r="G414" s="182"/>
      <c r="H414" s="183"/>
      <c r="I414" s="184"/>
      <c r="J414" s="184"/>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si="58"/>
        <v>0</v>
      </c>
      <c r="AB414" s="228" t="str">
        <f t="shared" si="59"/>
        <v/>
      </c>
    </row>
    <row r="415" spans="1:28" s="227" customFormat="1" ht="20.25">
      <c r="A415" s="181"/>
      <c r="B415" s="182"/>
      <c r="C415" s="186"/>
      <c r="D415" s="230"/>
      <c r="E415" s="182"/>
      <c r="F415" s="182"/>
      <c r="G415" s="182"/>
      <c r="H415" s="183"/>
      <c r="I415" s="184"/>
      <c r="J415" s="184"/>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si="58"/>
        <v>0</v>
      </c>
      <c r="AB415" s="228" t="str">
        <f t="shared" si="59"/>
        <v/>
      </c>
    </row>
    <row r="416" spans="1:28" s="227" customFormat="1" ht="20.25">
      <c r="A416" s="181"/>
      <c r="B416" s="182"/>
      <c r="C416" s="186"/>
      <c r="D416" s="230"/>
      <c r="E416" s="182"/>
      <c r="F416" s="182"/>
      <c r="G416" s="182"/>
      <c r="H416" s="183"/>
      <c r="I416" s="184"/>
      <c r="J416" s="184"/>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si="58"/>
        <v>0</v>
      </c>
      <c r="AB416" s="228" t="str">
        <f t="shared" si="59"/>
        <v/>
      </c>
    </row>
    <row r="417" spans="1:28" s="227" customFormat="1" ht="20.25">
      <c r="A417" s="181"/>
      <c r="B417" s="182"/>
      <c r="C417" s="186"/>
      <c r="D417" s="230"/>
      <c r="E417" s="182"/>
      <c r="F417" s="182"/>
      <c r="G417" s="182"/>
      <c r="H417" s="183"/>
      <c r="I417" s="184"/>
      <c r="J417" s="184"/>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si="58"/>
        <v>0</v>
      </c>
      <c r="AB417" s="228" t="str">
        <f t="shared" si="59"/>
        <v/>
      </c>
    </row>
    <row r="418" spans="1:28" s="227" customFormat="1" ht="20.25">
      <c r="A418" s="181"/>
      <c r="B418" s="182"/>
      <c r="C418" s="186"/>
      <c r="D418" s="230"/>
      <c r="E418" s="182"/>
      <c r="F418" s="182"/>
      <c r="G418" s="182"/>
      <c r="H418" s="183"/>
      <c r="I418" s="184"/>
      <c r="J418" s="184"/>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si="58"/>
        <v>0</v>
      </c>
      <c r="AB418" s="228" t="str">
        <f t="shared" si="59"/>
        <v/>
      </c>
    </row>
    <row r="419" spans="1:28" s="227" customFormat="1" ht="20.25">
      <c r="A419" s="181"/>
      <c r="B419" s="182"/>
      <c r="C419" s="186"/>
      <c r="D419" s="230"/>
      <c r="E419" s="182"/>
      <c r="F419" s="182"/>
      <c r="G419" s="182"/>
      <c r="H419" s="183"/>
      <c r="I419" s="184"/>
      <c r="J419" s="184"/>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si="58"/>
        <v>0</v>
      </c>
      <c r="AB419" s="228" t="str">
        <f t="shared" si="59"/>
        <v/>
      </c>
    </row>
    <row r="420" spans="1:28" s="227" customFormat="1" ht="20.25">
      <c r="A420" s="181"/>
      <c r="B420" s="182"/>
      <c r="C420" s="186"/>
      <c r="D420" s="230"/>
      <c r="E420" s="182"/>
      <c r="F420" s="182"/>
      <c r="G420" s="182"/>
      <c r="H420" s="183"/>
      <c r="I420" s="184"/>
      <c r="J420" s="184"/>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si="58"/>
        <v>0</v>
      </c>
      <c r="AB420" s="228" t="str">
        <f t="shared" si="59"/>
        <v/>
      </c>
    </row>
    <row r="421" spans="1:28" s="227" customFormat="1" ht="20.25">
      <c r="A421" s="181"/>
      <c r="B421" s="182"/>
      <c r="C421" s="186"/>
      <c r="D421" s="230"/>
      <c r="E421" s="182"/>
      <c r="F421" s="182"/>
      <c r="G421" s="182"/>
      <c r="H421" s="183"/>
      <c r="I421" s="184"/>
      <c r="J421" s="184"/>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si="58"/>
        <v>0</v>
      </c>
      <c r="AB421" s="228" t="str">
        <f t="shared" si="59"/>
        <v/>
      </c>
    </row>
    <row r="422" spans="1:28" s="227" customFormat="1" ht="20.25">
      <c r="A422" s="181"/>
      <c r="B422" s="182"/>
      <c r="C422" s="186"/>
      <c r="D422" s="230"/>
      <c r="E422" s="182"/>
      <c r="F422" s="182"/>
      <c r="G422" s="182"/>
      <c r="H422" s="183"/>
      <c r="I422" s="184"/>
      <c r="J422" s="184"/>
      <c r="K422" s="224"/>
      <c r="L422" s="224"/>
      <c r="M422" s="224"/>
      <c r="N422" s="224"/>
      <c r="O422" s="224"/>
      <c r="P422" s="185"/>
      <c r="Q422" s="225"/>
      <c r="R422" s="182" t="str">
        <f ca="1">IF(ISERROR($V422),"",OFFSET('Smelter Look-up'!$C$4,$V422-4,0)&amp;"")</f>
        <v/>
      </c>
      <c r="S422" s="181" t="str">
        <f t="shared" ref="S422:S452" ca="1" si="60">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si="61">IF(AND(C422="Smelter not listed",OR(LEN(D422)=0,LEN(E422)=0)),1,0)</f>
        <v>0</v>
      </c>
      <c r="AB422" s="228" t="str">
        <f t="shared" ref="AB422:AB452" si="62">B422&amp;C422</f>
        <v/>
      </c>
    </row>
    <row r="423" spans="1:28" s="227" customFormat="1" ht="20.25">
      <c r="A423" s="181"/>
      <c r="B423" s="182"/>
      <c r="C423" s="186"/>
      <c r="D423" s="230"/>
      <c r="E423" s="182"/>
      <c r="F423" s="182"/>
      <c r="G423" s="182"/>
      <c r="H423" s="183"/>
      <c r="I423" s="184"/>
      <c r="J423" s="184"/>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si="61"/>
        <v>0</v>
      </c>
      <c r="AB423" s="228" t="str">
        <f t="shared" si="62"/>
        <v/>
      </c>
    </row>
    <row r="424" spans="1:28" s="227" customFormat="1" ht="20.25">
      <c r="A424" s="181"/>
      <c r="B424" s="182"/>
      <c r="C424" s="186"/>
      <c r="D424" s="230"/>
      <c r="E424" s="182"/>
      <c r="F424" s="182"/>
      <c r="G424" s="182"/>
      <c r="H424" s="183"/>
      <c r="I424" s="184"/>
      <c r="J424" s="184"/>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si="61"/>
        <v>0</v>
      </c>
      <c r="AB424" s="228" t="str">
        <f t="shared" si="62"/>
        <v/>
      </c>
    </row>
    <row r="425" spans="1:28" s="227" customFormat="1" ht="20.25">
      <c r="A425" s="181"/>
      <c r="B425" s="182"/>
      <c r="C425" s="186"/>
      <c r="D425" s="230"/>
      <c r="E425" s="182"/>
      <c r="F425" s="182"/>
      <c r="G425" s="182"/>
      <c r="H425" s="183"/>
      <c r="I425" s="184"/>
      <c r="J425" s="184"/>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si="61"/>
        <v>0</v>
      </c>
      <c r="AB425" s="228" t="str">
        <f t="shared" si="62"/>
        <v/>
      </c>
    </row>
    <row r="426" spans="1:28" s="227" customFormat="1" ht="20.25">
      <c r="A426" s="181"/>
      <c r="B426" s="182"/>
      <c r="C426" s="186"/>
      <c r="D426" s="230"/>
      <c r="E426" s="182"/>
      <c r="F426" s="182"/>
      <c r="G426" s="182"/>
      <c r="H426" s="183"/>
      <c r="I426" s="184"/>
      <c r="J426" s="184"/>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si="61"/>
        <v>0</v>
      </c>
      <c r="AB426" s="228" t="str">
        <f t="shared" si="62"/>
        <v/>
      </c>
    </row>
    <row r="427" spans="1:28" s="227" customFormat="1" ht="20.25">
      <c r="A427" s="181"/>
      <c r="B427" s="182"/>
      <c r="C427" s="186"/>
      <c r="D427" s="230"/>
      <c r="E427" s="182"/>
      <c r="F427" s="182"/>
      <c r="G427" s="182"/>
      <c r="H427" s="183"/>
      <c r="I427" s="184"/>
      <c r="J427" s="184"/>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si="61"/>
        <v>0</v>
      </c>
      <c r="AB427" s="228" t="str">
        <f t="shared" si="62"/>
        <v/>
      </c>
    </row>
    <row r="428" spans="1:28" s="227" customFormat="1" ht="20.25">
      <c r="A428" s="181"/>
      <c r="B428" s="182"/>
      <c r="C428" s="186"/>
      <c r="D428" s="230"/>
      <c r="E428" s="182"/>
      <c r="F428" s="182"/>
      <c r="G428" s="182"/>
      <c r="H428" s="183"/>
      <c r="I428" s="184"/>
      <c r="J428" s="184"/>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si="61"/>
        <v>0</v>
      </c>
      <c r="AB428" s="228" t="str">
        <f t="shared" si="62"/>
        <v/>
      </c>
    </row>
    <row r="429" spans="1:28" s="227" customFormat="1" ht="20.25">
      <c r="A429" s="181"/>
      <c r="B429" s="182"/>
      <c r="C429" s="186"/>
      <c r="D429" s="230"/>
      <c r="E429" s="182"/>
      <c r="F429" s="182"/>
      <c r="G429" s="182"/>
      <c r="H429" s="183"/>
      <c r="I429" s="184"/>
      <c r="J429" s="184"/>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si="61"/>
        <v>0</v>
      </c>
      <c r="AB429" s="228" t="str">
        <f t="shared" si="62"/>
        <v/>
      </c>
    </row>
    <row r="430" spans="1:28" s="227" customFormat="1" ht="20.25">
      <c r="A430" s="181"/>
      <c r="B430" s="182"/>
      <c r="C430" s="186"/>
      <c r="D430" s="230"/>
      <c r="E430" s="182"/>
      <c r="F430" s="182"/>
      <c r="G430" s="182"/>
      <c r="H430" s="183"/>
      <c r="I430" s="184"/>
      <c r="J430" s="184"/>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si="61"/>
        <v>0</v>
      </c>
      <c r="AB430" s="228" t="str">
        <f t="shared" si="62"/>
        <v/>
      </c>
    </row>
    <row r="431" spans="1:28" s="227" customFormat="1" ht="20.25">
      <c r="A431" s="181"/>
      <c r="B431" s="182"/>
      <c r="C431" s="186"/>
      <c r="D431" s="230"/>
      <c r="E431" s="182"/>
      <c r="F431" s="182"/>
      <c r="G431" s="182"/>
      <c r="H431" s="183"/>
      <c r="I431" s="184"/>
      <c r="J431" s="184"/>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si="61"/>
        <v>0</v>
      </c>
      <c r="AB431" s="228" t="str">
        <f t="shared" si="62"/>
        <v/>
      </c>
    </row>
    <row r="432" spans="1:28" s="227" customFormat="1" ht="20.25">
      <c r="A432" s="181"/>
      <c r="B432" s="182"/>
      <c r="C432" s="186"/>
      <c r="D432" s="230"/>
      <c r="E432" s="182"/>
      <c r="F432" s="182"/>
      <c r="G432" s="182"/>
      <c r="H432" s="183"/>
      <c r="I432" s="184"/>
      <c r="J432" s="184"/>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si="61"/>
        <v>0</v>
      </c>
      <c r="AB432" s="228" t="str">
        <f t="shared" si="62"/>
        <v/>
      </c>
    </row>
    <row r="433" spans="1:28" s="227" customFormat="1" ht="20.25">
      <c r="A433" s="181"/>
      <c r="B433" s="182"/>
      <c r="C433" s="186"/>
      <c r="D433" s="230"/>
      <c r="E433" s="182"/>
      <c r="F433" s="182"/>
      <c r="G433" s="182"/>
      <c r="H433" s="183"/>
      <c r="I433" s="184"/>
      <c r="J433" s="184"/>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si="61"/>
        <v>0</v>
      </c>
      <c r="AB433" s="228" t="str">
        <f t="shared" si="62"/>
        <v/>
      </c>
    </row>
    <row r="434" spans="1:28" s="227" customFormat="1" ht="20.25">
      <c r="A434" s="181"/>
      <c r="B434" s="182"/>
      <c r="C434" s="186"/>
      <c r="D434" s="230"/>
      <c r="E434" s="182"/>
      <c r="F434" s="182"/>
      <c r="G434" s="182"/>
      <c r="H434" s="183"/>
      <c r="I434" s="184"/>
      <c r="J434" s="184"/>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si="61"/>
        <v>0</v>
      </c>
      <c r="AB434" s="228" t="str">
        <f t="shared" si="62"/>
        <v/>
      </c>
    </row>
    <row r="435" spans="1:28" s="227" customFormat="1" ht="20.25">
      <c r="A435" s="181"/>
      <c r="B435" s="182"/>
      <c r="C435" s="186"/>
      <c r="D435" s="230"/>
      <c r="E435" s="182"/>
      <c r="F435" s="182"/>
      <c r="G435" s="182"/>
      <c r="H435" s="183"/>
      <c r="I435" s="184"/>
      <c r="J435" s="184"/>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si="61"/>
        <v>0</v>
      </c>
      <c r="AB435" s="228" t="str">
        <f t="shared" si="62"/>
        <v/>
      </c>
    </row>
    <row r="436" spans="1:28" s="227" customFormat="1" ht="20.25">
      <c r="A436" s="181"/>
      <c r="B436" s="182"/>
      <c r="C436" s="186"/>
      <c r="D436" s="230"/>
      <c r="E436" s="182"/>
      <c r="F436" s="182"/>
      <c r="G436" s="182"/>
      <c r="H436" s="183"/>
      <c r="I436" s="184"/>
      <c r="J436" s="184"/>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si="61"/>
        <v>0</v>
      </c>
      <c r="AB436" s="228" t="str">
        <f t="shared" si="62"/>
        <v/>
      </c>
    </row>
    <row r="437" spans="1:28" s="227" customFormat="1" ht="20.25">
      <c r="A437" s="181"/>
      <c r="B437" s="182"/>
      <c r="C437" s="186"/>
      <c r="D437" s="230"/>
      <c r="E437" s="182"/>
      <c r="F437" s="182"/>
      <c r="G437" s="182"/>
      <c r="H437" s="183"/>
      <c r="I437" s="184"/>
      <c r="J437" s="184"/>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si="61"/>
        <v>0</v>
      </c>
      <c r="AB437" s="228" t="str">
        <f t="shared" si="62"/>
        <v/>
      </c>
    </row>
    <row r="438" spans="1:28" s="227" customFormat="1" ht="20.25">
      <c r="A438" s="181"/>
      <c r="B438" s="182"/>
      <c r="C438" s="186"/>
      <c r="D438" s="230"/>
      <c r="E438" s="182"/>
      <c r="F438" s="182"/>
      <c r="G438" s="182"/>
      <c r="H438" s="183"/>
      <c r="I438" s="184"/>
      <c r="J438" s="184"/>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si="61"/>
        <v>0</v>
      </c>
      <c r="AB438" s="228" t="str">
        <f t="shared" si="62"/>
        <v/>
      </c>
    </row>
    <row r="439" spans="1:28" s="227" customFormat="1" ht="20.25">
      <c r="A439" s="181"/>
      <c r="B439" s="182"/>
      <c r="C439" s="186"/>
      <c r="D439" s="230"/>
      <c r="E439" s="182"/>
      <c r="F439" s="182"/>
      <c r="G439" s="182"/>
      <c r="H439" s="183"/>
      <c r="I439" s="184"/>
      <c r="J439" s="184"/>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si="61"/>
        <v>0</v>
      </c>
      <c r="AB439" s="228" t="str">
        <f t="shared" si="62"/>
        <v/>
      </c>
    </row>
    <row r="440" spans="1:28" s="227" customFormat="1" ht="20.25">
      <c r="A440" s="181"/>
      <c r="B440" s="182"/>
      <c r="C440" s="186"/>
      <c r="D440" s="230"/>
      <c r="E440" s="182"/>
      <c r="F440" s="182"/>
      <c r="G440" s="182"/>
      <c r="H440" s="183"/>
      <c r="I440" s="184"/>
      <c r="J440" s="184"/>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si="61"/>
        <v>0</v>
      </c>
      <c r="AB440" s="228" t="str">
        <f t="shared" si="62"/>
        <v/>
      </c>
    </row>
    <row r="441" spans="1:28" s="227" customFormat="1" ht="20.25">
      <c r="A441" s="181"/>
      <c r="B441" s="182"/>
      <c r="C441" s="186"/>
      <c r="D441" s="230"/>
      <c r="E441" s="182"/>
      <c r="F441" s="182"/>
      <c r="G441" s="182"/>
      <c r="H441" s="183"/>
      <c r="I441" s="184"/>
      <c r="J441" s="184"/>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si="61"/>
        <v>0</v>
      </c>
      <c r="AB441" s="228" t="str">
        <f t="shared" si="62"/>
        <v/>
      </c>
    </row>
    <row r="442" spans="1:28" s="227" customFormat="1" ht="20.25">
      <c r="A442" s="181"/>
      <c r="B442" s="182"/>
      <c r="C442" s="186"/>
      <c r="D442" s="230"/>
      <c r="E442" s="182"/>
      <c r="F442" s="182"/>
      <c r="G442" s="182"/>
      <c r="H442" s="183"/>
      <c r="I442" s="184"/>
      <c r="J442" s="184"/>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si="61"/>
        <v>0</v>
      </c>
      <c r="AB442" s="228" t="str">
        <f t="shared" si="62"/>
        <v/>
      </c>
    </row>
    <row r="443" spans="1:28" s="227" customFormat="1" ht="20.25">
      <c r="A443" s="181"/>
      <c r="B443" s="182"/>
      <c r="C443" s="186"/>
      <c r="D443" s="230"/>
      <c r="E443" s="182"/>
      <c r="F443" s="182"/>
      <c r="G443" s="182"/>
      <c r="H443" s="183"/>
      <c r="I443" s="184"/>
      <c r="J443" s="184"/>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si="61"/>
        <v>0</v>
      </c>
      <c r="AB443" s="228" t="str">
        <f t="shared" si="62"/>
        <v/>
      </c>
    </row>
    <row r="444" spans="1:28" s="227" customFormat="1" ht="20.25">
      <c r="A444" s="181"/>
      <c r="B444" s="182"/>
      <c r="C444" s="186"/>
      <c r="D444" s="230"/>
      <c r="E444" s="182"/>
      <c r="F444" s="182"/>
      <c r="G444" s="182"/>
      <c r="H444" s="183"/>
      <c r="I444" s="184"/>
      <c r="J444" s="184"/>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si="61"/>
        <v>0</v>
      </c>
      <c r="AB444" s="228" t="str">
        <f t="shared" si="62"/>
        <v/>
      </c>
    </row>
    <row r="445" spans="1:28" s="227" customFormat="1" ht="20.25">
      <c r="A445" s="181"/>
      <c r="B445" s="182"/>
      <c r="C445" s="186"/>
      <c r="D445" s="230"/>
      <c r="E445" s="182"/>
      <c r="F445" s="182"/>
      <c r="G445" s="182"/>
      <c r="H445" s="183"/>
      <c r="I445" s="184"/>
      <c r="J445" s="184"/>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si="61"/>
        <v>0</v>
      </c>
      <c r="AB445" s="228" t="str">
        <f t="shared" si="62"/>
        <v/>
      </c>
    </row>
    <row r="446" spans="1:28" s="227" customFormat="1" ht="20.25">
      <c r="A446" s="181"/>
      <c r="B446" s="182"/>
      <c r="C446" s="186"/>
      <c r="D446" s="230"/>
      <c r="E446" s="182"/>
      <c r="F446" s="182"/>
      <c r="G446" s="182"/>
      <c r="H446" s="183"/>
      <c r="I446" s="184"/>
      <c r="J446" s="184"/>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si="61"/>
        <v>0</v>
      </c>
      <c r="AB446" s="228" t="str">
        <f t="shared" si="62"/>
        <v/>
      </c>
    </row>
    <row r="447" spans="1:28" s="227" customFormat="1" ht="20.25">
      <c r="A447" s="181"/>
      <c r="B447" s="182"/>
      <c r="C447" s="186"/>
      <c r="D447" s="230"/>
      <c r="E447" s="182"/>
      <c r="F447" s="182"/>
      <c r="G447" s="182"/>
      <c r="H447" s="183"/>
      <c r="I447" s="184"/>
      <c r="J447" s="184"/>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si="61"/>
        <v>0</v>
      </c>
      <c r="AB447" s="228" t="str">
        <f t="shared" si="62"/>
        <v/>
      </c>
    </row>
    <row r="448" spans="1:28" s="227" customFormat="1" ht="20.25">
      <c r="A448" s="181"/>
      <c r="B448" s="182"/>
      <c r="C448" s="186"/>
      <c r="D448" s="230"/>
      <c r="E448" s="182"/>
      <c r="F448" s="182"/>
      <c r="G448" s="182"/>
      <c r="H448" s="183"/>
      <c r="I448" s="184"/>
      <c r="J448" s="184"/>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si="61"/>
        <v>0</v>
      </c>
      <c r="AB448" s="228" t="str">
        <f t="shared" si="62"/>
        <v/>
      </c>
    </row>
    <row r="449" spans="1:28" s="227" customFormat="1" ht="20.25">
      <c r="A449" s="181"/>
      <c r="B449" s="182"/>
      <c r="C449" s="186"/>
      <c r="D449" s="230"/>
      <c r="E449" s="182"/>
      <c r="F449" s="182"/>
      <c r="G449" s="182"/>
      <c r="H449" s="183"/>
      <c r="I449" s="184"/>
      <c r="J449" s="184"/>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si="61"/>
        <v>0</v>
      </c>
      <c r="AB449" s="228" t="str">
        <f t="shared" si="62"/>
        <v/>
      </c>
    </row>
    <row r="450" spans="1:28" s="227" customFormat="1" ht="20.25">
      <c r="A450" s="181"/>
      <c r="B450" s="182"/>
      <c r="C450" s="186"/>
      <c r="D450" s="230"/>
      <c r="E450" s="182"/>
      <c r="F450" s="182"/>
      <c r="G450" s="182"/>
      <c r="H450" s="183"/>
      <c r="I450" s="184"/>
      <c r="J450" s="184"/>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si="61"/>
        <v>0</v>
      </c>
      <c r="AB450" s="228" t="str">
        <f t="shared" si="62"/>
        <v/>
      </c>
    </row>
    <row r="451" spans="1:28" s="227" customFormat="1" ht="20.25">
      <c r="A451" s="181"/>
      <c r="B451" s="182"/>
      <c r="C451" s="186"/>
      <c r="D451" s="230"/>
      <c r="E451" s="182"/>
      <c r="F451" s="182"/>
      <c r="G451" s="182"/>
      <c r="H451" s="183"/>
      <c r="I451" s="184"/>
      <c r="J451" s="184"/>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si="61"/>
        <v>0</v>
      </c>
      <c r="AB451" s="228" t="str">
        <f t="shared" si="62"/>
        <v/>
      </c>
    </row>
    <row r="452" spans="1:28" s="227" customFormat="1" ht="20.25">
      <c r="A452" s="181"/>
      <c r="B452" s="182"/>
      <c r="C452" s="186"/>
      <c r="D452" s="230"/>
      <c r="E452" s="182"/>
      <c r="F452" s="182"/>
      <c r="G452" s="182"/>
      <c r="H452" s="183"/>
      <c r="I452" s="184"/>
      <c r="J452" s="184"/>
      <c r="K452" s="224"/>
      <c r="L452" s="224"/>
      <c r="M452" s="224"/>
      <c r="N452" s="224"/>
      <c r="O452" s="224"/>
      <c r="P452" s="185"/>
      <c r="Q452" s="225"/>
      <c r="R452" s="182" t="str">
        <f ca="1">IF(ISERROR($V452),"",OFFSET('Smelter Look-up'!$C$4,$V452-4,0)&amp;"")</f>
        <v/>
      </c>
      <c r="S452" s="181" t="str">
        <f t="shared" ca="1" si="60"/>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si="61"/>
        <v>0</v>
      </c>
      <c r="AB452" s="228" t="str">
        <f t="shared" si="62"/>
        <v/>
      </c>
    </row>
    <row r="453" spans="1:28" s="227" customFormat="1" ht="20.25">
      <c r="A453" s="181"/>
      <c r="B453" s="182"/>
      <c r="C453" s="186"/>
      <c r="D453" s="230"/>
      <c r="E453" s="182"/>
      <c r="F453" s="182"/>
      <c r="G453" s="182"/>
      <c r="H453" s="183"/>
      <c r="I453" s="184"/>
      <c r="J453" s="184"/>
      <c r="K453" s="224"/>
      <c r="L453" s="224"/>
      <c r="M453" s="224"/>
      <c r="N453" s="224"/>
      <c r="O453" s="224"/>
      <c r="P453" s="185"/>
      <c r="Q453" s="225"/>
      <c r="R453" s="182" t="str">
        <f ca="1">IF(ISERROR($V453),"",OFFSET('Smelter Look-up'!$C$4,$V453-4,0)&amp;"")</f>
        <v/>
      </c>
      <c r="S453" s="181" t="str">
        <f t="shared" ref="S453" ca="1" si="63">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si="64">IF(AND(C453="Smelter not listed",OR(LEN(D453)=0,LEN(E453)=0)),1,0)</f>
        <v>0</v>
      </c>
      <c r="AB453" s="228" t="str">
        <f t="shared" ref="AB453" si="65">B453&amp;C453</f>
        <v/>
      </c>
    </row>
    <row r="454" spans="1:28" s="227" customFormat="1" ht="20.25">
      <c r="A454" s="181"/>
      <c r="B454" s="182"/>
      <c r="C454" s="186"/>
      <c r="D454" s="230"/>
      <c r="E454" s="182"/>
      <c r="F454" s="182"/>
      <c r="G454" s="182"/>
      <c r="H454" s="183"/>
      <c r="I454" s="184"/>
      <c r="J454" s="184"/>
      <c r="K454" s="224"/>
      <c r="L454" s="224"/>
      <c r="M454" s="224"/>
      <c r="N454" s="224"/>
      <c r="O454" s="224"/>
      <c r="P454" s="185"/>
      <c r="Q454" s="225"/>
      <c r="R454" s="182" t="str">
        <f ca="1">IF(ISERROR($V454),"",OFFSET('Smelter Look-up'!$C$4,$V454-4,0)&amp;"")</f>
        <v/>
      </c>
      <c r="S454" s="181" t="str">
        <f t="shared" ref="S454:S485" ca="1" si="66">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si="67">IF(AND(C454="Smelter not listed",OR(LEN(D454)=0,LEN(E454)=0)),1,0)</f>
        <v>0</v>
      </c>
      <c r="AB454" s="228" t="str">
        <f t="shared" ref="AB454:AB485" si="68">B454&amp;C454</f>
        <v/>
      </c>
    </row>
    <row r="455" spans="1:28" s="227" customFormat="1" ht="20.25">
      <c r="A455" s="181"/>
      <c r="B455" s="182"/>
      <c r="C455" s="186"/>
      <c r="D455" s="230"/>
      <c r="E455" s="182"/>
      <c r="F455" s="182"/>
      <c r="G455" s="182"/>
      <c r="H455" s="183"/>
      <c r="I455" s="184"/>
      <c r="J455" s="184"/>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si="67"/>
        <v>0</v>
      </c>
      <c r="AB455" s="228" t="str">
        <f t="shared" si="68"/>
        <v/>
      </c>
    </row>
    <row r="456" spans="1:28" s="227" customFormat="1" ht="20.25">
      <c r="A456" s="181"/>
      <c r="B456" s="182"/>
      <c r="C456" s="186"/>
      <c r="D456" s="230"/>
      <c r="E456" s="182"/>
      <c r="F456" s="182"/>
      <c r="G456" s="182"/>
      <c r="H456" s="183"/>
      <c r="I456" s="184"/>
      <c r="J456" s="184"/>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si="67"/>
        <v>0</v>
      </c>
      <c r="AB456" s="228" t="str">
        <f t="shared" si="68"/>
        <v/>
      </c>
    </row>
    <row r="457" spans="1:28" s="227" customFormat="1" ht="20.25">
      <c r="A457" s="181"/>
      <c r="B457" s="182"/>
      <c r="C457" s="186"/>
      <c r="D457" s="230"/>
      <c r="E457" s="182"/>
      <c r="F457" s="182"/>
      <c r="G457" s="182"/>
      <c r="H457" s="183"/>
      <c r="I457" s="184"/>
      <c r="J457" s="184"/>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si="67"/>
        <v>0</v>
      </c>
      <c r="AB457" s="228" t="str">
        <f t="shared" si="68"/>
        <v/>
      </c>
    </row>
    <row r="458" spans="1:28" s="227" customFormat="1" ht="20.25">
      <c r="A458" s="181"/>
      <c r="B458" s="182"/>
      <c r="C458" s="186"/>
      <c r="D458" s="230"/>
      <c r="E458" s="182"/>
      <c r="F458" s="182"/>
      <c r="G458" s="182"/>
      <c r="H458" s="183"/>
      <c r="I458" s="184"/>
      <c r="J458" s="184"/>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si="67"/>
        <v>0</v>
      </c>
      <c r="AB458" s="228" t="str">
        <f t="shared" si="68"/>
        <v/>
      </c>
    </row>
    <row r="459" spans="1:28" s="227" customFormat="1" ht="20.25">
      <c r="A459" s="181"/>
      <c r="B459" s="182"/>
      <c r="C459" s="186"/>
      <c r="D459" s="230"/>
      <c r="E459" s="182"/>
      <c r="F459" s="182"/>
      <c r="G459" s="182"/>
      <c r="H459" s="183"/>
      <c r="I459" s="184"/>
      <c r="J459" s="184"/>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si="67"/>
        <v>0</v>
      </c>
      <c r="AB459" s="228" t="str">
        <f t="shared" si="68"/>
        <v/>
      </c>
    </row>
    <row r="460" spans="1:28" s="227" customFormat="1" ht="20.25">
      <c r="A460" s="181"/>
      <c r="B460" s="182"/>
      <c r="C460" s="186"/>
      <c r="D460" s="230"/>
      <c r="E460" s="182"/>
      <c r="F460" s="182"/>
      <c r="G460" s="182"/>
      <c r="H460" s="183"/>
      <c r="I460" s="184"/>
      <c r="J460" s="184"/>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si="67"/>
        <v>0</v>
      </c>
      <c r="AB460" s="228" t="str">
        <f t="shared" si="68"/>
        <v/>
      </c>
    </row>
    <row r="461" spans="1:28" s="227" customFormat="1" ht="20.25">
      <c r="A461" s="181"/>
      <c r="B461" s="182"/>
      <c r="C461" s="186"/>
      <c r="D461" s="230"/>
      <c r="E461" s="182"/>
      <c r="F461" s="182"/>
      <c r="G461" s="182"/>
      <c r="H461" s="183"/>
      <c r="I461" s="184"/>
      <c r="J461" s="184"/>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si="67"/>
        <v>0</v>
      </c>
      <c r="AB461" s="228" t="str">
        <f t="shared" si="68"/>
        <v/>
      </c>
    </row>
    <row r="462" spans="1:28" s="227" customFormat="1" ht="20.25">
      <c r="A462" s="181"/>
      <c r="B462" s="182"/>
      <c r="C462" s="186"/>
      <c r="D462" s="230"/>
      <c r="E462" s="182"/>
      <c r="F462" s="182"/>
      <c r="G462" s="182"/>
      <c r="H462" s="183"/>
      <c r="I462" s="184"/>
      <c r="J462" s="184"/>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si="67"/>
        <v>0</v>
      </c>
      <c r="AB462" s="228" t="str">
        <f t="shared" si="68"/>
        <v/>
      </c>
    </row>
    <row r="463" spans="1:28" s="227" customFormat="1" ht="20.25">
      <c r="A463" s="181"/>
      <c r="B463" s="182"/>
      <c r="C463" s="186"/>
      <c r="D463" s="230"/>
      <c r="E463" s="182"/>
      <c r="F463" s="182"/>
      <c r="G463" s="182"/>
      <c r="H463" s="183"/>
      <c r="I463" s="184"/>
      <c r="J463" s="184"/>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si="67"/>
        <v>0</v>
      </c>
      <c r="AB463" s="228" t="str">
        <f t="shared" si="68"/>
        <v/>
      </c>
    </row>
    <row r="464" spans="1:28" s="227" customFormat="1" ht="20.25">
      <c r="A464" s="181"/>
      <c r="B464" s="182"/>
      <c r="C464" s="186"/>
      <c r="D464" s="230"/>
      <c r="E464" s="182"/>
      <c r="F464" s="182"/>
      <c r="G464" s="182"/>
      <c r="H464" s="183"/>
      <c r="I464" s="184"/>
      <c r="J464" s="184"/>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si="67"/>
        <v>0</v>
      </c>
      <c r="AB464" s="228" t="str">
        <f t="shared" si="68"/>
        <v/>
      </c>
    </row>
    <row r="465" spans="1:28" s="227" customFormat="1" ht="20.25">
      <c r="A465" s="181"/>
      <c r="B465" s="182"/>
      <c r="C465" s="186"/>
      <c r="D465" s="230"/>
      <c r="E465" s="182"/>
      <c r="F465" s="182"/>
      <c r="G465" s="182"/>
      <c r="H465" s="183"/>
      <c r="I465" s="184"/>
      <c r="J465" s="184"/>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si="67"/>
        <v>0</v>
      </c>
      <c r="AB465" s="228" t="str">
        <f t="shared" si="68"/>
        <v/>
      </c>
    </row>
    <row r="466" spans="1:28" s="227" customFormat="1" ht="20.25">
      <c r="A466" s="181"/>
      <c r="B466" s="182"/>
      <c r="C466" s="186"/>
      <c r="D466" s="230"/>
      <c r="E466" s="182"/>
      <c r="F466" s="182"/>
      <c r="G466" s="182"/>
      <c r="H466" s="183"/>
      <c r="I466" s="184"/>
      <c r="J466" s="184"/>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si="67"/>
        <v>0</v>
      </c>
      <c r="AB466" s="228" t="str">
        <f t="shared" si="68"/>
        <v/>
      </c>
    </row>
    <row r="467" spans="1:28" s="227" customFormat="1" ht="20.25">
      <c r="A467" s="181"/>
      <c r="B467" s="182"/>
      <c r="C467" s="186"/>
      <c r="D467" s="230"/>
      <c r="E467" s="182"/>
      <c r="F467" s="182"/>
      <c r="G467" s="182"/>
      <c r="H467" s="183"/>
      <c r="I467" s="184"/>
      <c r="J467" s="184"/>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si="67"/>
        <v>0</v>
      </c>
      <c r="AB467" s="228" t="str">
        <f t="shared" si="68"/>
        <v/>
      </c>
    </row>
    <row r="468" spans="1:28" s="227" customFormat="1" ht="20.25">
      <c r="A468" s="181"/>
      <c r="B468" s="182"/>
      <c r="C468" s="186"/>
      <c r="D468" s="230"/>
      <c r="E468" s="182"/>
      <c r="F468" s="182"/>
      <c r="G468" s="182"/>
      <c r="H468" s="183"/>
      <c r="I468" s="184"/>
      <c r="J468" s="184"/>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si="67"/>
        <v>0</v>
      </c>
      <c r="AB468" s="228" t="str">
        <f t="shared" si="68"/>
        <v/>
      </c>
    </row>
    <row r="469" spans="1:28" s="227" customFormat="1" ht="20.25">
      <c r="A469" s="181"/>
      <c r="B469" s="182"/>
      <c r="C469" s="186"/>
      <c r="D469" s="230"/>
      <c r="E469" s="182"/>
      <c r="F469" s="182"/>
      <c r="G469" s="182"/>
      <c r="H469" s="183"/>
      <c r="I469" s="184"/>
      <c r="J469" s="184"/>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si="67"/>
        <v>0</v>
      </c>
      <c r="AB469" s="228" t="str">
        <f t="shared" si="68"/>
        <v/>
      </c>
    </row>
    <row r="470" spans="1:28" s="227" customFormat="1" ht="20.25">
      <c r="A470" s="181"/>
      <c r="B470" s="182"/>
      <c r="C470" s="186"/>
      <c r="D470" s="230"/>
      <c r="E470" s="182"/>
      <c r="F470" s="182"/>
      <c r="G470" s="182"/>
      <c r="H470" s="183"/>
      <c r="I470" s="184"/>
      <c r="J470" s="184"/>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si="67"/>
        <v>0</v>
      </c>
      <c r="AB470" s="228" t="str">
        <f t="shared" si="68"/>
        <v/>
      </c>
    </row>
    <row r="471" spans="1:28" s="227" customFormat="1" ht="20.25">
      <c r="A471" s="181"/>
      <c r="B471" s="182"/>
      <c r="C471" s="186"/>
      <c r="D471" s="230"/>
      <c r="E471" s="182"/>
      <c r="F471" s="182"/>
      <c r="G471" s="182"/>
      <c r="H471" s="183"/>
      <c r="I471" s="184"/>
      <c r="J471" s="184"/>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si="67"/>
        <v>0</v>
      </c>
      <c r="AB471" s="228" t="str">
        <f t="shared" si="68"/>
        <v/>
      </c>
    </row>
    <row r="472" spans="1:28" s="227" customFormat="1" ht="20.25">
      <c r="A472" s="181"/>
      <c r="B472" s="182"/>
      <c r="C472" s="186"/>
      <c r="D472" s="230"/>
      <c r="E472" s="182"/>
      <c r="F472" s="182"/>
      <c r="G472" s="182"/>
      <c r="H472" s="183"/>
      <c r="I472" s="184"/>
      <c r="J472" s="184"/>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si="67"/>
        <v>0</v>
      </c>
      <c r="AB472" s="228" t="str">
        <f t="shared" si="68"/>
        <v/>
      </c>
    </row>
    <row r="473" spans="1:28" s="227" customFormat="1" ht="20.25">
      <c r="A473" s="181"/>
      <c r="B473" s="182"/>
      <c r="C473" s="186"/>
      <c r="D473" s="230"/>
      <c r="E473" s="182"/>
      <c r="F473" s="182"/>
      <c r="G473" s="182"/>
      <c r="H473" s="183"/>
      <c r="I473" s="184"/>
      <c r="J473" s="184"/>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si="67"/>
        <v>0</v>
      </c>
      <c r="AB473" s="228" t="str">
        <f t="shared" si="68"/>
        <v/>
      </c>
    </row>
    <row r="474" spans="1:28" s="227" customFormat="1" ht="20.25">
      <c r="A474" s="181"/>
      <c r="B474" s="182"/>
      <c r="C474" s="186"/>
      <c r="D474" s="230"/>
      <c r="E474" s="182"/>
      <c r="F474" s="182"/>
      <c r="G474" s="182"/>
      <c r="H474" s="183"/>
      <c r="I474" s="184"/>
      <c r="J474" s="184"/>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si="67"/>
        <v>0</v>
      </c>
      <c r="AB474" s="228" t="str">
        <f t="shared" si="68"/>
        <v/>
      </c>
    </row>
    <row r="475" spans="1:28" s="227" customFormat="1" ht="20.25">
      <c r="A475" s="181"/>
      <c r="B475" s="182"/>
      <c r="C475" s="186"/>
      <c r="D475" s="230"/>
      <c r="E475" s="182"/>
      <c r="F475" s="182"/>
      <c r="G475" s="182"/>
      <c r="H475" s="183"/>
      <c r="I475" s="184"/>
      <c r="J475" s="184"/>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si="67"/>
        <v>0</v>
      </c>
      <c r="AB475" s="228" t="str">
        <f t="shared" si="68"/>
        <v/>
      </c>
    </row>
    <row r="476" spans="1:28" s="227" customFormat="1" ht="20.25">
      <c r="A476" s="181"/>
      <c r="B476" s="182"/>
      <c r="C476" s="186"/>
      <c r="D476" s="230"/>
      <c r="E476" s="182"/>
      <c r="F476" s="182"/>
      <c r="G476" s="182"/>
      <c r="H476" s="183"/>
      <c r="I476" s="184"/>
      <c r="J476" s="184"/>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si="67"/>
        <v>0</v>
      </c>
      <c r="AB476" s="228" t="str">
        <f t="shared" si="68"/>
        <v/>
      </c>
    </row>
    <row r="477" spans="1:28" s="227" customFormat="1" ht="20.25">
      <c r="A477" s="181"/>
      <c r="B477" s="182"/>
      <c r="C477" s="186"/>
      <c r="D477" s="230"/>
      <c r="E477" s="182"/>
      <c r="F477" s="182"/>
      <c r="G477" s="182"/>
      <c r="H477" s="183"/>
      <c r="I477" s="184"/>
      <c r="J477" s="184"/>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si="67"/>
        <v>0</v>
      </c>
      <c r="AB477" s="228" t="str">
        <f t="shared" si="68"/>
        <v/>
      </c>
    </row>
    <row r="478" spans="1:28" s="227" customFormat="1" ht="20.25">
      <c r="A478" s="181"/>
      <c r="B478" s="182"/>
      <c r="C478" s="186"/>
      <c r="D478" s="230"/>
      <c r="E478" s="182"/>
      <c r="F478" s="182"/>
      <c r="G478" s="182"/>
      <c r="H478" s="183"/>
      <c r="I478" s="184"/>
      <c r="J478" s="184"/>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si="67"/>
        <v>0</v>
      </c>
      <c r="AB478" s="228" t="str">
        <f t="shared" si="68"/>
        <v/>
      </c>
    </row>
    <row r="479" spans="1:28" s="227" customFormat="1" ht="20.25">
      <c r="A479" s="181"/>
      <c r="B479" s="182"/>
      <c r="C479" s="186"/>
      <c r="D479" s="230"/>
      <c r="E479" s="182"/>
      <c r="F479" s="182"/>
      <c r="G479" s="182"/>
      <c r="H479" s="183"/>
      <c r="I479" s="184"/>
      <c r="J479" s="184"/>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si="67"/>
        <v>0</v>
      </c>
      <c r="AB479" s="228" t="str">
        <f t="shared" si="68"/>
        <v/>
      </c>
    </row>
    <row r="480" spans="1:28" s="227" customFormat="1" ht="20.25">
      <c r="A480" s="181"/>
      <c r="B480" s="182"/>
      <c r="C480" s="186"/>
      <c r="D480" s="230"/>
      <c r="E480" s="182"/>
      <c r="F480" s="182"/>
      <c r="G480" s="182"/>
      <c r="H480" s="183"/>
      <c r="I480" s="184"/>
      <c r="J480" s="184"/>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si="67"/>
        <v>0</v>
      </c>
      <c r="AB480" s="228" t="str">
        <f t="shared" si="68"/>
        <v/>
      </c>
    </row>
    <row r="481" spans="1:28" s="227" customFormat="1" ht="20.25">
      <c r="A481" s="181"/>
      <c r="B481" s="182"/>
      <c r="C481" s="186"/>
      <c r="D481" s="230"/>
      <c r="E481" s="182"/>
      <c r="F481" s="182"/>
      <c r="G481" s="182"/>
      <c r="H481" s="183"/>
      <c r="I481" s="184"/>
      <c r="J481" s="184"/>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si="67"/>
        <v>0</v>
      </c>
      <c r="AB481" s="228" t="str">
        <f t="shared" si="68"/>
        <v/>
      </c>
    </row>
    <row r="482" spans="1:28" s="227" customFormat="1" ht="20.25">
      <c r="A482" s="181"/>
      <c r="B482" s="182"/>
      <c r="C482" s="186"/>
      <c r="D482" s="230"/>
      <c r="E482" s="182"/>
      <c r="F482" s="182"/>
      <c r="G482" s="182"/>
      <c r="H482" s="183"/>
      <c r="I482" s="184"/>
      <c r="J482" s="184"/>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si="67"/>
        <v>0</v>
      </c>
      <c r="AB482" s="228" t="str">
        <f t="shared" si="68"/>
        <v/>
      </c>
    </row>
    <row r="483" spans="1:28" s="227" customFormat="1" ht="20.25">
      <c r="A483" s="181"/>
      <c r="B483" s="182"/>
      <c r="C483" s="186"/>
      <c r="D483" s="230"/>
      <c r="E483" s="182"/>
      <c r="F483" s="182"/>
      <c r="G483" s="182"/>
      <c r="H483" s="183"/>
      <c r="I483" s="184"/>
      <c r="J483" s="184"/>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si="67"/>
        <v>0</v>
      </c>
      <c r="AB483" s="228" t="str">
        <f t="shared" si="68"/>
        <v/>
      </c>
    </row>
    <row r="484" spans="1:28" s="227" customFormat="1" ht="20.25">
      <c r="A484" s="181"/>
      <c r="B484" s="182"/>
      <c r="C484" s="186"/>
      <c r="D484" s="230"/>
      <c r="E484" s="182"/>
      <c r="F484" s="182"/>
      <c r="G484" s="182"/>
      <c r="H484" s="183"/>
      <c r="I484" s="184"/>
      <c r="J484" s="184"/>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si="67"/>
        <v>0</v>
      </c>
      <c r="AB484" s="228" t="str">
        <f t="shared" si="68"/>
        <v/>
      </c>
    </row>
    <row r="485" spans="1:28" s="227" customFormat="1" ht="20.25">
      <c r="A485" s="181"/>
      <c r="B485" s="182"/>
      <c r="C485" s="186"/>
      <c r="D485" s="230"/>
      <c r="E485" s="182"/>
      <c r="F485" s="182"/>
      <c r="G485" s="182"/>
      <c r="H485" s="183"/>
      <c r="I485" s="184"/>
      <c r="J485" s="184"/>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si="67"/>
        <v>0</v>
      </c>
      <c r="AB485" s="228" t="str">
        <f t="shared" si="68"/>
        <v/>
      </c>
    </row>
    <row r="486" spans="1:28" s="227" customFormat="1" ht="20.25">
      <c r="A486" s="181"/>
      <c r="B486" s="182"/>
      <c r="C486" s="186"/>
      <c r="D486" s="230"/>
      <c r="E486" s="182"/>
      <c r="F486" s="182"/>
      <c r="G486" s="182"/>
      <c r="H486" s="183"/>
      <c r="I486" s="184"/>
      <c r="J486" s="184"/>
      <c r="K486" s="224"/>
      <c r="L486" s="224"/>
      <c r="M486" s="224"/>
      <c r="N486" s="224"/>
      <c r="O486" s="224"/>
      <c r="P486" s="185"/>
      <c r="Q486" s="225"/>
      <c r="R486" s="182" t="str">
        <f ca="1">IF(ISERROR($V486),"",OFFSET('Smelter Look-up'!$C$4,$V486-4,0)&amp;"")</f>
        <v/>
      </c>
      <c r="S486" s="181" t="str">
        <f t="shared" ref="S486:S516" ca="1" si="69">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si="70">IF(AND(C486="Smelter not listed",OR(LEN(D486)=0,LEN(E486)=0)),1,0)</f>
        <v>0</v>
      </c>
      <c r="AB486" s="228" t="str">
        <f t="shared" ref="AB486:AB516" si="71">B486&amp;C486</f>
        <v/>
      </c>
    </row>
    <row r="487" spans="1:28" s="227" customFormat="1" ht="20.25">
      <c r="A487" s="181"/>
      <c r="B487" s="182"/>
      <c r="C487" s="186"/>
      <c r="D487" s="230"/>
      <c r="E487" s="182"/>
      <c r="F487" s="182"/>
      <c r="G487" s="182"/>
      <c r="H487" s="183"/>
      <c r="I487" s="184"/>
      <c r="J487" s="184"/>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si="70"/>
        <v>0</v>
      </c>
      <c r="AB487" s="228" t="str">
        <f t="shared" si="71"/>
        <v/>
      </c>
    </row>
    <row r="488" spans="1:28" s="227" customFormat="1" ht="20.25">
      <c r="A488" s="181"/>
      <c r="B488" s="182"/>
      <c r="C488" s="186"/>
      <c r="D488" s="230"/>
      <c r="E488" s="182"/>
      <c r="F488" s="182"/>
      <c r="G488" s="182"/>
      <c r="H488" s="183"/>
      <c r="I488" s="184"/>
      <c r="J488" s="184"/>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si="70"/>
        <v>0</v>
      </c>
      <c r="AB488" s="228" t="str">
        <f t="shared" si="71"/>
        <v/>
      </c>
    </row>
    <row r="489" spans="1:28" s="227" customFormat="1" ht="20.25">
      <c r="A489" s="181"/>
      <c r="B489" s="182"/>
      <c r="C489" s="186"/>
      <c r="D489" s="230"/>
      <c r="E489" s="182"/>
      <c r="F489" s="182"/>
      <c r="G489" s="182"/>
      <c r="H489" s="183"/>
      <c r="I489" s="184"/>
      <c r="J489" s="184"/>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si="70"/>
        <v>0</v>
      </c>
      <c r="AB489" s="228" t="str">
        <f t="shared" si="71"/>
        <v/>
      </c>
    </row>
    <row r="490" spans="1:28" s="227" customFormat="1" ht="20.25">
      <c r="A490" s="181"/>
      <c r="B490" s="182"/>
      <c r="C490" s="186"/>
      <c r="D490" s="230"/>
      <c r="E490" s="182"/>
      <c r="F490" s="182"/>
      <c r="G490" s="182"/>
      <c r="H490" s="183"/>
      <c r="I490" s="184"/>
      <c r="J490" s="184"/>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si="70"/>
        <v>0</v>
      </c>
      <c r="AB490" s="228" t="str">
        <f t="shared" si="71"/>
        <v/>
      </c>
    </row>
    <row r="491" spans="1:28" s="227" customFormat="1" ht="20.25">
      <c r="A491" s="181"/>
      <c r="B491" s="182"/>
      <c r="C491" s="186"/>
      <c r="D491" s="230"/>
      <c r="E491" s="182"/>
      <c r="F491" s="182"/>
      <c r="G491" s="182"/>
      <c r="H491" s="183"/>
      <c r="I491" s="184"/>
      <c r="J491" s="184"/>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si="70"/>
        <v>0</v>
      </c>
      <c r="AB491" s="228" t="str">
        <f t="shared" si="71"/>
        <v/>
      </c>
    </row>
    <row r="492" spans="1:28" s="227" customFormat="1" ht="20.25">
      <c r="A492" s="181"/>
      <c r="B492" s="182"/>
      <c r="C492" s="186"/>
      <c r="D492" s="230"/>
      <c r="E492" s="182"/>
      <c r="F492" s="182"/>
      <c r="G492" s="182"/>
      <c r="H492" s="183"/>
      <c r="I492" s="184"/>
      <c r="J492" s="184"/>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si="70"/>
        <v>0</v>
      </c>
      <c r="AB492" s="228" t="str">
        <f t="shared" si="71"/>
        <v/>
      </c>
    </row>
    <row r="493" spans="1:28" s="227" customFormat="1" ht="20.25">
      <c r="A493" s="181"/>
      <c r="B493" s="182"/>
      <c r="C493" s="186"/>
      <c r="D493" s="230"/>
      <c r="E493" s="182"/>
      <c r="F493" s="182"/>
      <c r="G493" s="182"/>
      <c r="H493" s="183"/>
      <c r="I493" s="184"/>
      <c r="J493" s="184"/>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si="70"/>
        <v>0</v>
      </c>
      <c r="AB493" s="228" t="str">
        <f t="shared" si="71"/>
        <v/>
      </c>
    </row>
    <row r="494" spans="1:28" s="227" customFormat="1" ht="20.25">
      <c r="A494" s="181"/>
      <c r="B494" s="182"/>
      <c r="C494" s="186"/>
      <c r="D494" s="230"/>
      <c r="E494" s="182"/>
      <c r="F494" s="182"/>
      <c r="G494" s="182"/>
      <c r="H494" s="183"/>
      <c r="I494" s="184"/>
      <c r="J494" s="184"/>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si="70"/>
        <v>0</v>
      </c>
      <c r="AB494" s="228" t="str">
        <f t="shared" si="71"/>
        <v/>
      </c>
    </row>
    <row r="495" spans="1:28" s="227" customFormat="1" ht="20.25">
      <c r="A495" s="181"/>
      <c r="B495" s="182"/>
      <c r="C495" s="186"/>
      <c r="D495" s="230"/>
      <c r="E495" s="182"/>
      <c r="F495" s="182"/>
      <c r="G495" s="182"/>
      <c r="H495" s="183"/>
      <c r="I495" s="184"/>
      <c r="J495" s="184"/>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si="70"/>
        <v>0</v>
      </c>
      <c r="AB495" s="228" t="str">
        <f t="shared" si="71"/>
        <v/>
      </c>
    </row>
    <row r="496" spans="1:28" s="227" customFormat="1" ht="20.25">
      <c r="A496" s="181"/>
      <c r="B496" s="182"/>
      <c r="C496" s="186"/>
      <c r="D496" s="230"/>
      <c r="E496" s="182"/>
      <c r="F496" s="182"/>
      <c r="G496" s="182"/>
      <c r="H496" s="183"/>
      <c r="I496" s="184"/>
      <c r="J496" s="184"/>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si="70"/>
        <v>0</v>
      </c>
      <c r="AB496" s="228" t="str">
        <f t="shared" si="71"/>
        <v/>
      </c>
    </row>
    <row r="497" spans="1:28" s="227" customFormat="1" ht="20.25">
      <c r="A497" s="181"/>
      <c r="B497" s="182"/>
      <c r="C497" s="186"/>
      <c r="D497" s="230"/>
      <c r="E497" s="182"/>
      <c r="F497" s="182"/>
      <c r="G497" s="182"/>
      <c r="H497" s="183"/>
      <c r="I497" s="184"/>
      <c r="J497" s="184"/>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si="70"/>
        <v>0</v>
      </c>
      <c r="AB497" s="228" t="str">
        <f t="shared" si="71"/>
        <v/>
      </c>
    </row>
    <row r="498" spans="1:28" s="227" customFormat="1" ht="20.25">
      <c r="A498" s="181"/>
      <c r="B498" s="182"/>
      <c r="C498" s="186"/>
      <c r="D498" s="230"/>
      <c r="E498" s="182"/>
      <c r="F498" s="182"/>
      <c r="G498" s="182"/>
      <c r="H498" s="183"/>
      <c r="I498" s="184"/>
      <c r="J498" s="184"/>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si="70"/>
        <v>0</v>
      </c>
      <c r="AB498" s="228" t="str">
        <f t="shared" si="71"/>
        <v/>
      </c>
    </row>
    <row r="499" spans="1:28" s="227" customFormat="1" ht="20.25">
      <c r="A499" s="181"/>
      <c r="B499" s="182"/>
      <c r="C499" s="186"/>
      <c r="D499" s="230"/>
      <c r="E499" s="182"/>
      <c r="F499" s="182"/>
      <c r="G499" s="182"/>
      <c r="H499" s="183"/>
      <c r="I499" s="184"/>
      <c r="J499" s="184"/>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si="70"/>
        <v>0</v>
      </c>
      <c r="AB499" s="228" t="str">
        <f t="shared" si="71"/>
        <v/>
      </c>
    </row>
    <row r="500" spans="1:28" s="227" customFormat="1" ht="20.25">
      <c r="A500" s="181"/>
      <c r="B500" s="182"/>
      <c r="C500" s="186"/>
      <c r="D500" s="230"/>
      <c r="E500" s="182"/>
      <c r="F500" s="182"/>
      <c r="G500" s="182"/>
      <c r="H500" s="183"/>
      <c r="I500" s="184"/>
      <c r="J500" s="184"/>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si="70"/>
        <v>0</v>
      </c>
      <c r="AB500" s="228" t="str">
        <f t="shared" si="71"/>
        <v/>
      </c>
    </row>
    <row r="501" spans="1:28" s="227" customFormat="1" ht="20.25">
      <c r="A501" s="181"/>
      <c r="B501" s="182"/>
      <c r="C501" s="186"/>
      <c r="D501" s="230"/>
      <c r="E501" s="182"/>
      <c r="F501" s="182"/>
      <c r="G501" s="182"/>
      <c r="H501" s="183"/>
      <c r="I501" s="184"/>
      <c r="J501" s="184"/>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si="70"/>
        <v>0</v>
      </c>
      <c r="AB501" s="228" t="str">
        <f t="shared" si="71"/>
        <v/>
      </c>
    </row>
    <row r="502" spans="1:28" s="227" customFormat="1" ht="20.25">
      <c r="A502" s="181"/>
      <c r="B502" s="182"/>
      <c r="C502" s="186"/>
      <c r="D502" s="230"/>
      <c r="E502" s="182"/>
      <c r="F502" s="182"/>
      <c r="G502" s="182"/>
      <c r="H502" s="183"/>
      <c r="I502" s="184"/>
      <c r="J502" s="184"/>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si="70"/>
        <v>0</v>
      </c>
      <c r="AB502" s="228" t="str">
        <f t="shared" si="71"/>
        <v/>
      </c>
    </row>
    <row r="503" spans="1:28" s="227" customFormat="1" ht="20.25">
      <c r="A503" s="181"/>
      <c r="B503" s="182"/>
      <c r="C503" s="186"/>
      <c r="D503" s="230"/>
      <c r="E503" s="182"/>
      <c r="F503" s="182"/>
      <c r="G503" s="182"/>
      <c r="H503" s="183"/>
      <c r="I503" s="184"/>
      <c r="J503" s="184"/>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si="70"/>
        <v>0</v>
      </c>
      <c r="AB503" s="228" t="str">
        <f t="shared" si="71"/>
        <v/>
      </c>
    </row>
    <row r="504" spans="1:28" s="227" customFormat="1" ht="20.25">
      <c r="A504" s="181"/>
      <c r="B504" s="182"/>
      <c r="C504" s="186"/>
      <c r="D504" s="230"/>
      <c r="E504" s="182"/>
      <c r="F504" s="182"/>
      <c r="G504" s="182"/>
      <c r="H504" s="183"/>
      <c r="I504" s="184"/>
      <c r="J504" s="184"/>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si="70"/>
        <v>0</v>
      </c>
      <c r="AB504" s="228" t="str">
        <f t="shared" si="71"/>
        <v/>
      </c>
    </row>
    <row r="505" spans="1:28" s="227" customFormat="1" ht="20.25">
      <c r="A505" s="181"/>
      <c r="B505" s="182"/>
      <c r="C505" s="186"/>
      <c r="D505" s="230"/>
      <c r="E505" s="182"/>
      <c r="F505" s="182"/>
      <c r="G505" s="182"/>
      <c r="H505" s="183"/>
      <c r="I505" s="184"/>
      <c r="J505" s="184"/>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si="70"/>
        <v>0</v>
      </c>
      <c r="AB505" s="228" t="str">
        <f t="shared" si="71"/>
        <v/>
      </c>
    </row>
    <row r="506" spans="1:28" s="227" customFormat="1" ht="20.25">
      <c r="A506" s="181"/>
      <c r="B506" s="182"/>
      <c r="C506" s="186"/>
      <c r="D506" s="230"/>
      <c r="E506" s="182"/>
      <c r="F506" s="182"/>
      <c r="G506" s="182"/>
      <c r="H506" s="183"/>
      <c r="I506" s="184"/>
      <c r="J506" s="184"/>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si="70"/>
        <v>0</v>
      </c>
      <c r="AB506" s="228" t="str">
        <f t="shared" si="71"/>
        <v/>
      </c>
    </row>
    <row r="507" spans="1:28" s="227" customFormat="1" ht="20.25">
      <c r="A507" s="181"/>
      <c r="B507" s="182"/>
      <c r="C507" s="186"/>
      <c r="D507" s="230"/>
      <c r="E507" s="182"/>
      <c r="F507" s="182"/>
      <c r="G507" s="182"/>
      <c r="H507" s="183"/>
      <c r="I507" s="184"/>
      <c r="J507" s="184"/>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si="70"/>
        <v>0</v>
      </c>
      <c r="AB507" s="228" t="str">
        <f t="shared" si="71"/>
        <v/>
      </c>
    </row>
    <row r="508" spans="1:28" s="227" customFormat="1" ht="20.25">
      <c r="A508" s="181"/>
      <c r="B508" s="182"/>
      <c r="C508" s="186"/>
      <c r="D508" s="230"/>
      <c r="E508" s="182"/>
      <c r="F508" s="182"/>
      <c r="G508" s="182"/>
      <c r="H508" s="183"/>
      <c r="I508" s="184"/>
      <c r="J508" s="184"/>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si="70"/>
        <v>0</v>
      </c>
      <c r="AB508" s="228" t="str">
        <f t="shared" si="71"/>
        <v/>
      </c>
    </row>
    <row r="509" spans="1:28" s="227" customFormat="1" ht="20.25">
      <c r="A509" s="181"/>
      <c r="B509" s="182"/>
      <c r="C509" s="186"/>
      <c r="D509" s="230"/>
      <c r="E509" s="182"/>
      <c r="F509" s="182"/>
      <c r="G509" s="182"/>
      <c r="H509" s="183"/>
      <c r="I509" s="184"/>
      <c r="J509" s="184"/>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si="70"/>
        <v>0</v>
      </c>
      <c r="AB509" s="228" t="str">
        <f t="shared" si="71"/>
        <v/>
      </c>
    </row>
    <row r="510" spans="1:28" s="227" customFormat="1" ht="20.25">
      <c r="A510" s="181"/>
      <c r="B510" s="182"/>
      <c r="C510" s="186"/>
      <c r="D510" s="230"/>
      <c r="E510" s="182"/>
      <c r="F510" s="182"/>
      <c r="G510" s="182"/>
      <c r="H510" s="183"/>
      <c r="I510" s="184"/>
      <c r="J510" s="184"/>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si="70"/>
        <v>0</v>
      </c>
      <c r="AB510" s="228" t="str">
        <f t="shared" si="71"/>
        <v/>
      </c>
    </row>
    <row r="511" spans="1:28" s="227" customFormat="1" ht="20.25">
      <c r="A511" s="181"/>
      <c r="B511" s="182"/>
      <c r="C511" s="186"/>
      <c r="D511" s="230"/>
      <c r="E511" s="182"/>
      <c r="F511" s="182"/>
      <c r="G511" s="182"/>
      <c r="H511" s="183"/>
      <c r="I511" s="184"/>
      <c r="J511" s="184"/>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si="70"/>
        <v>0</v>
      </c>
      <c r="AB511" s="228" t="str">
        <f t="shared" si="71"/>
        <v/>
      </c>
    </row>
    <row r="512" spans="1:28" s="227" customFormat="1" ht="20.25">
      <c r="A512" s="181"/>
      <c r="B512" s="182"/>
      <c r="C512" s="186"/>
      <c r="D512" s="230"/>
      <c r="E512" s="182"/>
      <c r="F512" s="182"/>
      <c r="G512" s="182"/>
      <c r="H512" s="183"/>
      <c r="I512" s="184"/>
      <c r="J512" s="184"/>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si="70"/>
        <v>0</v>
      </c>
      <c r="AB512" s="228" t="str">
        <f t="shared" si="71"/>
        <v/>
      </c>
    </row>
    <row r="513" spans="1:28" s="227" customFormat="1" ht="20.25">
      <c r="A513" s="181"/>
      <c r="B513" s="182"/>
      <c r="C513" s="186"/>
      <c r="D513" s="230"/>
      <c r="E513" s="182"/>
      <c r="F513" s="182"/>
      <c r="G513" s="182"/>
      <c r="H513" s="183"/>
      <c r="I513" s="184"/>
      <c r="J513" s="184"/>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si="70"/>
        <v>0</v>
      </c>
      <c r="AB513" s="228" t="str">
        <f t="shared" si="71"/>
        <v/>
      </c>
    </row>
    <row r="514" spans="1:28" s="227" customFormat="1" ht="20.25">
      <c r="A514" s="181"/>
      <c r="B514" s="182"/>
      <c r="C514" s="186"/>
      <c r="D514" s="230"/>
      <c r="E514" s="182"/>
      <c r="F514" s="182"/>
      <c r="G514" s="182"/>
      <c r="H514" s="183"/>
      <c r="I514" s="184"/>
      <c r="J514" s="184"/>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si="70"/>
        <v>0</v>
      </c>
      <c r="AB514" s="228" t="str">
        <f t="shared" si="71"/>
        <v/>
      </c>
    </row>
    <row r="515" spans="1:28" s="227" customFormat="1" ht="20.25">
      <c r="A515" s="181"/>
      <c r="B515" s="182"/>
      <c r="C515" s="186"/>
      <c r="D515" s="230"/>
      <c r="E515" s="182"/>
      <c r="F515" s="182"/>
      <c r="G515" s="182"/>
      <c r="H515" s="183"/>
      <c r="I515" s="184"/>
      <c r="J515" s="184"/>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si="70"/>
        <v>0</v>
      </c>
      <c r="AB515" s="228" t="str">
        <f t="shared" si="71"/>
        <v/>
      </c>
    </row>
    <row r="516" spans="1:28" s="227" customFormat="1" ht="20.25">
      <c r="A516" s="181"/>
      <c r="B516" s="182"/>
      <c r="C516" s="186"/>
      <c r="D516" s="230"/>
      <c r="E516" s="182"/>
      <c r="F516" s="182"/>
      <c r="G516" s="182"/>
      <c r="H516" s="183"/>
      <c r="I516" s="184"/>
      <c r="J516" s="184"/>
      <c r="K516" s="224"/>
      <c r="L516" s="224"/>
      <c r="M516" s="224"/>
      <c r="N516" s="224"/>
      <c r="O516" s="224"/>
      <c r="P516" s="185"/>
      <c r="Q516" s="225"/>
      <c r="R516" s="182" t="str">
        <f ca="1">IF(ISERROR($V516),"",OFFSET('Smelter Look-up'!$C$4,$V516-4,0)&amp;"")</f>
        <v/>
      </c>
      <c r="S516" s="181" t="str">
        <f t="shared" ca="1" si="69"/>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si="70"/>
        <v>0</v>
      </c>
      <c r="AB516" s="228" t="str">
        <f t="shared" si="71"/>
        <v/>
      </c>
    </row>
    <row r="517" spans="1:28" s="227" customFormat="1" ht="20.25">
      <c r="A517" s="181"/>
      <c r="B517" s="182"/>
      <c r="C517" s="186"/>
      <c r="D517" s="230"/>
      <c r="E517" s="182"/>
      <c r="F517" s="182"/>
      <c r="G517" s="182"/>
      <c r="H517" s="183"/>
      <c r="I517" s="184"/>
      <c r="J517" s="184"/>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si="73">IF(AND(C517="Smelter not listed",OR(LEN(D517)=0,LEN(E517)=0)),1,0)</f>
        <v>0</v>
      </c>
      <c r="AB517" s="228" t="str">
        <f t="shared" ref="AB517" si="74">B517&amp;C517</f>
        <v/>
      </c>
    </row>
    <row r="518" spans="1:28" s="227" customFormat="1" ht="20.25">
      <c r="A518" s="181"/>
      <c r="B518" s="182"/>
      <c r="C518" s="186"/>
      <c r="D518" s="230"/>
      <c r="E518" s="182"/>
      <c r="F518" s="182"/>
      <c r="G518" s="182"/>
      <c r="H518" s="183"/>
      <c r="I518" s="184"/>
      <c r="J518" s="184"/>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si="76">IF(AND(C518="Smelter not listed",OR(LEN(D518)=0,LEN(E518)=0)),1,0)</f>
        <v>0</v>
      </c>
      <c r="AB518" s="228" t="str">
        <f t="shared" ref="AB518:AB549" si="77">B518&amp;C518</f>
        <v/>
      </c>
    </row>
    <row r="519" spans="1:28" s="227" customFormat="1" ht="20.25">
      <c r="A519" s="181"/>
      <c r="B519" s="182"/>
      <c r="C519" s="186"/>
      <c r="D519" s="230"/>
      <c r="E519" s="182"/>
      <c r="F519" s="182"/>
      <c r="G519" s="182"/>
      <c r="H519" s="183"/>
      <c r="I519" s="184"/>
      <c r="J519" s="184"/>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si="76"/>
        <v>0</v>
      </c>
      <c r="AB519" s="228" t="str">
        <f t="shared" si="77"/>
        <v/>
      </c>
    </row>
    <row r="520" spans="1:28" s="227" customFormat="1" ht="20.25">
      <c r="A520" s="181"/>
      <c r="B520" s="182"/>
      <c r="C520" s="186"/>
      <c r="D520" s="230"/>
      <c r="E520" s="182"/>
      <c r="F520" s="182"/>
      <c r="G520" s="182"/>
      <c r="H520" s="183"/>
      <c r="I520" s="184"/>
      <c r="J520" s="184"/>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si="76"/>
        <v>0</v>
      </c>
      <c r="AB520" s="228" t="str">
        <f t="shared" si="77"/>
        <v/>
      </c>
    </row>
    <row r="521" spans="1:28" s="227" customFormat="1" ht="20.25">
      <c r="A521" s="181"/>
      <c r="B521" s="182"/>
      <c r="C521" s="186"/>
      <c r="D521" s="230"/>
      <c r="E521" s="182"/>
      <c r="F521" s="182"/>
      <c r="G521" s="182"/>
      <c r="H521" s="183"/>
      <c r="I521" s="184"/>
      <c r="J521" s="184"/>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si="76"/>
        <v>0</v>
      </c>
      <c r="AB521" s="228" t="str">
        <f t="shared" si="77"/>
        <v/>
      </c>
    </row>
    <row r="522" spans="1:28" s="227" customFormat="1" ht="20.25">
      <c r="A522" s="181"/>
      <c r="B522" s="182"/>
      <c r="C522" s="186"/>
      <c r="D522" s="230"/>
      <c r="E522" s="182"/>
      <c r="F522" s="182"/>
      <c r="G522" s="182"/>
      <c r="H522" s="183"/>
      <c r="I522" s="184"/>
      <c r="J522" s="184"/>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si="76"/>
        <v>0</v>
      </c>
      <c r="AB522" s="228" t="str">
        <f t="shared" si="77"/>
        <v/>
      </c>
    </row>
    <row r="523" spans="1:28" s="227" customFormat="1" ht="20.25">
      <c r="A523" s="181"/>
      <c r="B523" s="182"/>
      <c r="C523" s="186"/>
      <c r="D523" s="230"/>
      <c r="E523" s="182"/>
      <c r="F523" s="182"/>
      <c r="G523" s="182"/>
      <c r="H523" s="183"/>
      <c r="I523" s="184"/>
      <c r="J523" s="184"/>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si="76"/>
        <v>0</v>
      </c>
      <c r="AB523" s="228" t="str">
        <f t="shared" si="77"/>
        <v/>
      </c>
    </row>
    <row r="524" spans="1:28" s="227" customFormat="1" ht="20.25">
      <c r="A524" s="181"/>
      <c r="B524" s="182"/>
      <c r="C524" s="186"/>
      <c r="D524" s="230"/>
      <c r="E524" s="182"/>
      <c r="F524" s="182"/>
      <c r="G524" s="182"/>
      <c r="H524" s="183"/>
      <c r="I524" s="184"/>
      <c r="J524" s="184"/>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si="76"/>
        <v>0</v>
      </c>
      <c r="AB524" s="228" t="str">
        <f t="shared" si="77"/>
        <v/>
      </c>
    </row>
    <row r="525" spans="1:28" s="227" customFormat="1" ht="20.25">
      <c r="A525" s="181"/>
      <c r="B525" s="182"/>
      <c r="C525" s="186"/>
      <c r="D525" s="230"/>
      <c r="E525" s="182"/>
      <c r="F525" s="182"/>
      <c r="G525" s="182"/>
      <c r="H525" s="183"/>
      <c r="I525" s="184"/>
      <c r="J525" s="184"/>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si="76"/>
        <v>0</v>
      </c>
      <c r="AB525" s="228" t="str">
        <f t="shared" si="77"/>
        <v/>
      </c>
    </row>
    <row r="526" spans="1:28" s="227" customFormat="1" ht="20.25">
      <c r="A526" s="181"/>
      <c r="B526" s="182"/>
      <c r="C526" s="186"/>
      <c r="D526" s="230"/>
      <c r="E526" s="182"/>
      <c r="F526" s="182"/>
      <c r="G526" s="182"/>
      <c r="H526" s="183"/>
      <c r="I526" s="184"/>
      <c r="J526" s="184"/>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si="76"/>
        <v>0</v>
      </c>
      <c r="AB526" s="228" t="str">
        <f t="shared" si="77"/>
        <v/>
      </c>
    </row>
    <row r="527" spans="1:28" s="227" customFormat="1" ht="20.25">
      <c r="A527" s="181"/>
      <c r="B527" s="182"/>
      <c r="C527" s="186"/>
      <c r="D527" s="230"/>
      <c r="E527" s="182"/>
      <c r="F527" s="182"/>
      <c r="G527" s="182"/>
      <c r="H527" s="183"/>
      <c r="I527" s="184"/>
      <c r="J527" s="184"/>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si="76"/>
        <v>0</v>
      </c>
      <c r="AB527" s="228" t="str">
        <f t="shared" si="77"/>
        <v/>
      </c>
    </row>
    <row r="528" spans="1:28" s="227" customFormat="1" ht="20.25">
      <c r="A528" s="181"/>
      <c r="B528" s="182"/>
      <c r="C528" s="186"/>
      <c r="D528" s="230"/>
      <c r="E528" s="182"/>
      <c r="F528" s="182"/>
      <c r="G528" s="182"/>
      <c r="H528" s="183"/>
      <c r="I528" s="184"/>
      <c r="J528" s="184"/>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si="76"/>
        <v>0</v>
      </c>
      <c r="AB528" s="228" t="str">
        <f t="shared" si="77"/>
        <v/>
      </c>
    </row>
    <row r="529" spans="1:28" s="227" customFormat="1" ht="20.25">
      <c r="A529" s="181"/>
      <c r="B529" s="182"/>
      <c r="C529" s="186"/>
      <c r="D529" s="230"/>
      <c r="E529" s="182"/>
      <c r="F529" s="182"/>
      <c r="G529" s="182"/>
      <c r="H529" s="183"/>
      <c r="I529" s="184"/>
      <c r="J529" s="184"/>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si="76"/>
        <v>0</v>
      </c>
      <c r="AB529" s="228" t="str">
        <f t="shared" si="77"/>
        <v/>
      </c>
    </row>
    <row r="530" spans="1:28" s="227" customFormat="1" ht="20.25">
      <c r="A530" s="181"/>
      <c r="B530" s="182"/>
      <c r="C530" s="186"/>
      <c r="D530" s="230"/>
      <c r="E530" s="182"/>
      <c r="F530" s="182"/>
      <c r="G530" s="182"/>
      <c r="H530" s="183"/>
      <c r="I530" s="184"/>
      <c r="J530" s="184"/>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si="76"/>
        <v>0</v>
      </c>
      <c r="AB530" s="228" t="str">
        <f t="shared" si="77"/>
        <v/>
      </c>
    </row>
    <row r="531" spans="1:28" s="227" customFormat="1" ht="20.25">
      <c r="A531" s="181"/>
      <c r="B531" s="182"/>
      <c r="C531" s="186"/>
      <c r="D531" s="230"/>
      <c r="E531" s="182"/>
      <c r="F531" s="182"/>
      <c r="G531" s="182"/>
      <c r="H531" s="183"/>
      <c r="I531" s="184"/>
      <c r="J531" s="184"/>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si="76"/>
        <v>0</v>
      </c>
      <c r="AB531" s="228" t="str">
        <f t="shared" si="77"/>
        <v/>
      </c>
    </row>
    <row r="532" spans="1:28" s="227" customFormat="1" ht="20.25">
      <c r="A532" s="181"/>
      <c r="B532" s="182"/>
      <c r="C532" s="186"/>
      <c r="D532" s="230"/>
      <c r="E532" s="182"/>
      <c r="F532" s="182"/>
      <c r="G532" s="182"/>
      <c r="H532" s="183"/>
      <c r="I532" s="184"/>
      <c r="J532" s="184"/>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si="76"/>
        <v>0</v>
      </c>
      <c r="AB532" s="228" t="str">
        <f t="shared" si="77"/>
        <v/>
      </c>
    </row>
    <row r="533" spans="1:28" s="227" customFormat="1" ht="20.25">
      <c r="A533" s="181"/>
      <c r="B533" s="182"/>
      <c r="C533" s="186"/>
      <c r="D533" s="230"/>
      <c r="E533" s="182"/>
      <c r="F533" s="182"/>
      <c r="G533" s="182"/>
      <c r="H533" s="183"/>
      <c r="I533" s="184"/>
      <c r="J533" s="184"/>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si="76"/>
        <v>0</v>
      </c>
      <c r="AB533" s="228" t="str">
        <f t="shared" si="77"/>
        <v/>
      </c>
    </row>
    <row r="534" spans="1:28" s="227" customFormat="1" ht="20.25">
      <c r="A534" s="181"/>
      <c r="B534" s="182"/>
      <c r="C534" s="186"/>
      <c r="D534" s="230"/>
      <c r="E534" s="182"/>
      <c r="F534" s="182"/>
      <c r="G534" s="182"/>
      <c r="H534" s="183"/>
      <c r="I534" s="184"/>
      <c r="J534" s="184"/>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si="76"/>
        <v>0</v>
      </c>
      <c r="AB534" s="228" t="str">
        <f t="shared" si="77"/>
        <v/>
      </c>
    </row>
    <row r="535" spans="1:28" s="227" customFormat="1" ht="20.25">
      <c r="A535" s="181"/>
      <c r="B535" s="182"/>
      <c r="C535" s="186"/>
      <c r="D535" s="230"/>
      <c r="E535" s="182"/>
      <c r="F535" s="182"/>
      <c r="G535" s="182"/>
      <c r="H535" s="183"/>
      <c r="I535" s="184"/>
      <c r="J535" s="184"/>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si="76"/>
        <v>0</v>
      </c>
      <c r="AB535" s="228" t="str">
        <f t="shared" si="77"/>
        <v/>
      </c>
    </row>
    <row r="536" spans="1:28" s="227" customFormat="1" ht="20.25">
      <c r="A536" s="181"/>
      <c r="B536" s="182"/>
      <c r="C536" s="186"/>
      <c r="D536" s="230"/>
      <c r="E536" s="182"/>
      <c r="F536" s="182"/>
      <c r="G536" s="182"/>
      <c r="H536" s="183"/>
      <c r="I536" s="184"/>
      <c r="J536" s="184"/>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si="76"/>
        <v>0</v>
      </c>
      <c r="AB536" s="228" t="str">
        <f t="shared" si="77"/>
        <v/>
      </c>
    </row>
    <row r="537" spans="1:28" s="227" customFormat="1" ht="20.25">
      <c r="A537" s="181"/>
      <c r="B537" s="182"/>
      <c r="C537" s="186"/>
      <c r="D537" s="230"/>
      <c r="E537" s="182"/>
      <c r="F537" s="182"/>
      <c r="G537" s="182"/>
      <c r="H537" s="183"/>
      <c r="I537" s="184"/>
      <c r="J537" s="184"/>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si="76"/>
        <v>0</v>
      </c>
      <c r="AB537" s="228" t="str">
        <f t="shared" si="77"/>
        <v/>
      </c>
    </row>
    <row r="538" spans="1:28" s="227" customFormat="1" ht="20.25">
      <c r="A538" s="181"/>
      <c r="B538" s="182"/>
      <c r="C538" s="186"/>
      <c r="D538" s="230"/>
      <c r="E538" s="182"/>
      <c r="F538" s="182"/>
      <c r="G538" s="182"/>
      <c r="H538" s="183"/>
      <c r="I538" s="184"/>
      <c r="J538" s="184"/>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si="76"/>
        <v>0</v>
      </c>
      <c r="AB538" s="228" t="str">
        <f t="shared" si="77"/>
        <v/>
      </c>
    </row>
    <row r="539" spans="1:28" s="227" customFormat="1" ht="20.25">
      <c r="A539" s="181"/>
      <c r="B539" s="182"/>
      <c r="C539" s="186"/>
      <c r="D539" s="230"/>
      <c r="E539" s="182"/>
      <c r="F539" s="182"/>
      <c r="G539" s="182"/>
      <c r="H539" s="183"/>
      <c r="I539" s="184"/>
      <c r="J539" s="184"/>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si="76"/>
        <v>0</v>
      </c>
      <c r="AB539" s="228" t="str">
        <f t="shared" si="77"/>
        <v/>
      </c>
    </row>
    <row r="540" spans="1:28" s="227" customFormat="1" ht="20.25">
      <c r="A540" s="181"/>
      <c r="B540" s="182"/>
      <c r="C540" s="186"/>
      <c r="D540" s="230"/>
      <c r="E540" s="182"/>
      <c r="F540" s="182"/>
      <c r="G540" s="182"/>
      <c r="H540" s="183"/>
      <c r="I540" s="184"/>
      <c r="J540" s="184"/>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si="76"/>
        <v>0</v>
      </c>
      <c r="AB540" s="228" t="str">
        <f t="shared" si="77"/>
        <v/>
      </c>
    </row>
    <row r="541" spans="1:28" s="227" customFormat="1" ht="20.25">
      <c r="A541" s="181"/>
      <c r="B541" s="182"/>
      <c r="C541" s="186"/>
      <c r="D541" s="230"/>
      <c r="E541" s="182"/>
      <c r="F541" s="182"/>
      <c r="G541" s="182"/>
      <c r="H541" s="183"/>
      <c r="I541" s="184"/>
      <c r="J541" s="184"/>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si="76"/>
        <v>0</v>
      </c>
      <c r="AB541" s="228" t="str">
        <f t="shared" si="77"/>
        <v/>
      </c>
    </row>
    <row r="542" spans="1:28" s="227" customFormat="1" ht="20.25">
      <c r="A542" s="181"/>
      <c r="B542" s="182"/>
      <c r="C542" s="186"/>
      <c r="D542" s="230"/>
      <c r="E542" s="182"/>
      <c r="F542" s="182"/>
      <c r="G542" s="182"/>
      <c r="H542" s="183"/>
      <c r="I542" s="184"/>
      <c r="J542" s="184"/>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si="76"/>
        <v>0</v>
      </c>
      <c r="AB542" s="228" t="str">
        <f t="shared" si="77"/>
        <v/>
      </c>
    </row>
    <row r="543" spans="1:28" s="227" customFormat="1" ht="20.25">
      <c r="A543" s="181"/>
      <c r="B543" s="182"/>
      <c r="C543" s="186"/>
      <c r="D543" s="230"/>
      <c r="E543" s="182"/>
      <c r="F543" s="182"/>
      <c r="G543" s="182"/>
      <c r="H543" s="183"/>
      <c r="I543" s="184"/>
      <c r="J543" s="184"/>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si="76"/>
        <v>0</v>
      </c>
      <c r="AB543" s="228" t="str">
        <f t="shared" si="77"/>
        <v/>
      </c>
    </row>
    <row r="544" spans="1:28" s="227" customFormat="1" ht="20.25">
      <c r="A544" s="181"/>
      <c r="B544" s="182"/>
      <c r="C544" s="186"/>
      <c r="D544" s="230"/>
      <c r="E544" s="182"/>
      <c r="F544" s="182"/>
      <c r="G544" s="182"/>
      <c r="H544" s="183"/>
      <c r="I544" s="184"/>
      <c r="J544" s="184"/>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si="76"/>
        <v>0</v>
      </c>
      <c r="AB544" s="228" t="str">
        <f t="shared" si="77"/>
        <v/>
      </c>
    </row>
    <row r="545" spans="1:28" s="227" customFormat="1" ht="20.25">
      <c r="A545" s="181"/>
      <c r="B545" s="182"/>
      <c r="C545" s="186"/>
      <c r="D545" s="230"/>
      <c r="E545" s="182"/>
      <c r="F545" s="182"/>
      <c r="G545" s="182"/>
      <c r="H545" s="183"/>
      <c r="I545" s="184"/>
      <c r="J545" s="184"/>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si="76"/>
        <v>0</v>
      </c>
      <c r="AB545" s="228" t="str">
        <f t="shared" si="77"/>
        <v/>
      </c>
    </row>
    <row r="546" spans="1:28" s="227" customFormat="1" ht="20.25">
      <c r="A546" s="181"/>
      <c r="B546" s="182"/>
      <c r="C546" s="186"/>
      <c r="D546" s="230"/>
      <c r="E546" s="182"/>
      <c r="F546" s="182"/>
      <c r="G546" s="182"/>
      <c r="H546" s="183"/>
      <c r="I546" s="184"/>
      <c r="J546" s="184"/>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si="76"/>
        <v>0</v>
      </c>
      <c r="AB546" s="228" t="str">
        <f t="shared" si="77"/>
        <v/>
      </c>
    </row>
    <row r="547" spans="1:28" s="227" customFormat="1" ht="20.25">
      <c r="A547" s="181"/>
      <c r="B547" s="182"/>
      <c r="C547" s="186"/>
      <c r="D547" s="230"/>
      <c r="E547" s="182"/>
      <c r="F547" s="182"/>
      <c r="G547" s="182"/>
      <c r="H547" s="183"/>
      <c r="I547" s="184"/>
      <c r="J547" s="184"/>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si="76"/>
        <v>0</v>
      </c>
      <c r="AB547" s="228" t="str">
        <f t="shared" si="77"/>
        <v/>
      </c>
    </row>
    <row r="548" spans="1:28" s="227" customFormat="1" ht="20.25">
      <c r="A548" s="181"/>
      <c r="B548" s="182"/>
      <c r="C548" s="186"/>
      <c r="D548" s="230"/>
      <c r="E548" s="182"/>
      <c r="F548" s="182"/>
      <c r="G548" s="182"/>
      <c r="H548" s="183"/>
      <c r="I548" s="184"/>
      <c r="J548" s="184"/>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si="76"/>
        <v>0</v>
      </c>
      <c r="AB548" s="228" t="str">
        <f t="shared" si="77"/>
        <v/>
      </c>
    </row>
    <row r="549" spans="1:28" s="227" customFormat="1" ht="20.25">
      <c r="A549" s="181"/>
      <c r="B549" s="182"/>
      <c r="C549" s="186"/>
      <c r="D549" s="230"/>
      <c r="E549" s="182"/>
      <c r="F549" s="182"/>
      <c r="G549" s="182"/>
      <c r="H549" s="183"/>
      <c r="I549" s="184"/>
      <c r="J549" s="184"/>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si="76"/>
        <v>0</v>
      </c>
      <c r="AB549" s="228" t="str">
        <f t="shared" si="77"/>
        <v/>
      </c>
    </row>
    <row r="550" spans="1:28" s="227" customFormat="1" ht="20.25">
      <c r="A550" s="181"/>
      <c r="B550" s="182"/>
      <c r="C550" s="186"/>
      <c r="D550" s="230"/>
      <c r="E550" s="182"/>
      <c r="F550" s="182"/>
      <c r="G550" s="182"/>
      <c r="H550" s="183"/>
      <c r="I550" s="184"/>
      <c r="J550" s="184"/>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si="79">IF(AND(C550="Smelter not listed",OR(LEN(D550)=0,LEN(E550)=0)),1,0)</f>
        <v>0</v>
      </c>
      <c r="AB550" s="228" t="str">
        <f t="shared" ref="AB550:AB580" si="80">B550&amp;C550</f>
        <v/>
      </c>
    </row>
    <row r="551" spans="1:28" s="227" customFormat="1" ht="20.25">
      <c r="A551" s="181"/>
      <c r="B551" s="182"/>
      <c r="C551" s="186"/>
      <c r="D551" s="230"/>
      <c r="E551" s="182"/>
      <c r="F551" s="182"/>
      <c r="G551" s="182"/>
      <c r="H551" s="183"/>
      <c r="I551" s="184"/>
      <c r="J551" s="184"/>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si="79"/>
        <v>0</v>
      </c>
      <c r="AB551" s="228" t="str">
        <f t="shared" si="80"/>
        <v/>
      </c>
    </row>
    <row r="552" spans="1:28" s="227" customFormat="1" ht="20.25">
      <c r="A552" s="181"/>
      <c r="B552" s="182"/>
      <c r="C552" s="186"/>
      <c r="D552" s="230"/>
      <c r="E552" s="182"/>
      <c r="F552" s="182"/>
      <c r="G552" s="182"/>
      <c r="H552" s="183"/>
      <c r="I552" s="184"/>
      <c r="J552" s="184"/>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si="79"/>
        <v>0</v>
      </c>
      <c r="AB552" s="228" t="str">
        <f t="shared" si="80"/>
        <v/>
      </c>
    </row>
    <row r="553" spans="1:28" s="227" customFormat="1" ht="20.25">
      <c r="A553" s="181"/>
      <c r="B553" s="182"/>
      <c r="C553" s="186"/>
      <c r="D553" s="230"/>
      <c r="E553" s="182"/>
      <c r="F553" s="182"/>
      <c r="G553" s="182"/>
      <c r="H553" s="183"/>
      <c r="I553" s="184"/>
      <c r="J553" s="184"/>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si="79"/>
        <v>0</v>
      </c>
      <c r="AB553" s="228" t="str">
        <f t="shared" si="80"/>
        <v/>
      </c>
    </row>
    <row r="554" spans="1:28" s="227" customFormat="1" ht="20.25">
      <c r="A554" s="181"/>
      <c r="B554" s="182"/>
      <c r="C554" s="186"/>
      <c r="D554" s="230"/>
      <c r="E554" s="182"/>
      <c r="F554" s="182"/>
      <c r="G554" s="182"/>
      <c r="H554" s="183"/>
      <c r="I554" s="184"/>
      <c r="J554" s="184"/>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si="79"/>
        <v>0</v>
      </c>
      <c r="AB554" s="228" t="str">
        <f t="shared" si="80"/>
        <v/>
      </c>
    </row>
    <row r="555" spans="1:28" s="227" customFormat="1" ht="20.25">
      <c r="A555" s="181"/>
      <c r="B555" s="182"/>
      <c r="C555" s="186"/>
      <c r="D555" s="230"/>
      <c r="E555" s="182"/>
      <c r="F555" s="182"/>
      <c r="G555" s="182"/>
      <c r="H555" s="183"/>
      <c r="I555" s="184"/>
      <c r="J555" s="184"/>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si="79"/>
        <v>0</v>
      </c>
      <c r="AB555" s="228" t="str">
        <f t="shared" si="80"/>
        <v/>
      </c>
    </row>
    <row r="556" spans="1:28" s="227" customFormat="1" ht="20.25">
      <c r="A556" s="181"/>
      <c r="B556" s="182"/>
      <c r="C556" s="186"/>
      <c r="D556" s="230"/>
      <c r="E556" s="182"/>
      <c r="F556" s="182"/>
      <c r="G556" s="182"/>
      <c r="H556" s="183"/>
      <c r="I556" s="184"/>
      <c r="J556" s="184"/>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si="79"/>
        <v>0</v>
      </c>
      <c r="AB556" s="228" t="str">
        <f t="shared" si="80"/>
        <v/>
      </c>
    </row>
    <row r="557" spans="1:28" s="227" customFormat="1" ht="20.25">
      <c r="A557" s="181"/>
      <c r="B557" s="182"/>
      <c r="C557" s="186"/>
      <c r="D557" s="230"/>
      <c r="E557" s="182"/>
      <c r="F557" s="182"/>
      <c r="G557" s="182"/>
      <c r="H557" s="183"/>
      <c r="I557" s="184"/>
      <c r="J557" s="184"/>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si="79"/>
        <v>0</v>
      </c>
      <c r="AB557" s="228" t="str">
        <f t="shared" si="80"/>
        <v/>
      </c>
    </row>
    <row r="558" spans="1:28" s="227" customFormat="1" ht="20.25">
      <c r="A558" s="181"/>
      <c r="B558" s="182"/>
      <c r="C558" s="186"/>
      <c r="D558" s="230"/>
      <c r="E558" s="182"/>
      <c r="F558" s="182"/>
      <c r="G558" s="182"/>
      <c r="H558" s="183"/>
      <c r="I558" s="184"/>
      <c r="J558" s="184"/>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si="79"/>
        <v>0</v>
      </c>
      <c r="AB558" s="228" t="str">
        <f t="shared" si="80"/>
        <v/>
      </c>
    </row>
    <row r="559" spans="1:28" s="227" customFormat="1" ht="20.25">
      <c r="A559" s="181"/>
      <c r="B559" s="182"/>
      <c r="C559" s="186"/>
      <c r="D559" s="230"/>
      <c r="E559" s="182"/>
      <c r="F559" s="182"/>
      <c r="G559" s="182"/>
      <c r="H559" s="183"/>
      <c r="I559" s="184"/>
      <c r="J559" s="184"/>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si="79"/>
        <v>0</v>
      </c>
      <c r="AB559" s="228" t="str">
        <f t="shared" si="80"/>
        <v/>
      </c>
    </row>
    <row r="560" spans="1:28" s="227" customFormat="1" ht="20.25">
      <c r="A560" s="181"/>
      <c r="B560" s="182"/>
      <c r="C560" s="186"/>
      <c r="D560" s="230"/>
      <c r="E560" s="182"/>
      <c r="F560" s="182"/>
      <c r="G560" s="182"/>
      <c r="H560" s="183"/>
      <c r="I560" s="184"/>
      <c r="J560" s="184"/>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si="79"/>
        <v>0</v>
      </c>
      <c r="AB560" s="228" t="str">
        <f t="shared" si="80"/>
        <v/>
      </c>
    </row>
    <row r="561" spans="1:28" s="227" customFormat="1" ht="20.25">
      <c r="A561" s="181"/>
      <c r="B561" s="182"/>
      <c r="C561" s="186"/>
      <c r="D561" s="230"/>
      <c r="E561" s="182"/>
      <c r="F561" s="182"/>
      <c r="G561" s="182"/>
      <c r="H561" s="183"/>
      <c r="I561" s="184"/>
      <c r="J561" s="184"/>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si="79"/>
        <v>0</v>
      </c>
      <c r="AB561" s="228" t="str">
        <f t="shared" si="80"/>
        <v/>
      </c>
    </row>
    <row r="562" spans="1:28" s="227" customFormat="1" ht="20.25">
      <c r="A562" s="181"/>
      <c r="B562" s="182"/>
      <c r="C562" s="186"/>
      <c r="D562" s="230"/>
      <c r="E562" s="182"/>
      <c r="F562" s="182"/>
      <c r="G562" s="182"/>
      <c r="H562" s="183"/>
      <c r="I562" s="184"/>
      <c r="J562" s="184"/>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si="79"/>
        <v>0</v>
      </c>
      <c r="AB562" s="228" t="str">
        <f t="shared" si="80"/>
        <v/>
      </c>
    </row>
    <row r="563" spans="1:28" s="227" customFormat="1" ht="20.25">
      <c r="A563" s="181"/>
      <c r="B563" s="182"/>
      <c r="C563" s="186"/>
      <c r="D563" s="230"/>
      <c r="E563" s="182"/>
      <c r="F563" s="182"/>
      <c r="G563" s="182"/>
      <c r="H563" s="183"/>
      <c r="I563" s="184"/>
      <c r="J563" s="184"/>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si="79"/>
        <v>0</v>
      </c>
      <c r="AB563" s="228" t="str">
        <f t="shared" si="80"/>
        <v/>
      </c>
    </row>
    <row r="564" spans="1:28" s="227" customFormat="1" ht="20.25">
      <c r="A564" s="181"/>
      <c r="B564" s="182"/>
      <c r="C564" s="186"/>
      <c r="D564" s="230"/>
      <c r="E564" s="182"/>
      <c r="F564" s="182"/>
      <c r="G564" s="182"/>
      <c r="H564" s="183"/>
      <c r="I564" s="184"/>
      <c r="J564" s="184"/>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si="79"/>
        <v>0</v>
      </c>
      <c r="AB564" s="228" t="str">
        <f t="shared" si="80"/>
        <v/>
      </c>
    </row>
    <row r="565" spans="1:28" s="227" customFormat="1" ht="20.25">
      <c r="A565" s="181"/>
      <c r="B565" s="182"/>
      <c r="C565" s="186"/>
      <c r="D565" s="230"/>
      <c r="E565" s="182"/>
      <c r="F565" s="182"/>
      <c r="G565" s="182"/>
      <c r="H565" s="183"/>
      <c r="I565" s="184"/>
      <c r="J565" s="184"/>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si="79"/>
        <v>0</v>
      </c>
      <c r="AB565" s="228" t="str">
        <f t="shared" si="80"/>
        <v/>
      </c>
    </row>
    <row r="566" spans="1:28" s="227" customFormat="1" ht="20.25">
      <c r="A566" s="181"/>
      <c r="B566" s="182"/>
      <c r="C566" s="186"/>
      <c r="D566" s="230"/>
      <c r="E566" s="182"/>
      <c r="F566" s="182"/>
      <c r="G566" s="182"/>
      <c r="H566" s="183"/>
      <c r="I566" s="184"/>
      <c r="J566" s="184"/>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si="79"/>
        <v>0</v>
      </c>
      <c r="AB566" s="228" t="str">
        <f t="shared" si="80"/>
        <v/>
      </c>
    </row>
    <row r="567" spans="1:28" s="227" customFormat="1" ht="20.25">
      <c r="A567" s="181"/>
      <c r="B567" s="182"/>
      <c r="C567" s="186"/>
      <c r="D567" s="230"/>
      <c r="E567" s="182"/>
      <c r="F567" s="182"/>
      <c r="G567" s="182"/>
      <c r="H567" s="183"/>
      <c r="I567" s="184"/>
      <c r="J567" s="184"/>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si="79"/>
        <v>0</v>
      </c>
      <c r="AB567" s="228" t="str">
        <f t="shared" si="80"/>
        <v/>
      </c>
    </row>
    <row r="568" spans="1:28" s="227" customFormat="1" ht="20.25">
      <c r="A568" s="181"/>
      <c r="B568" s="182"/>
      <c r="C568" s="186"/>
      <c r="D568" s="230"/>
      <c r="E568" s="182"/>
      <c r="F568" s="182"/>
      <c r="G568" s="182"/>
      <c r="H568" s="183"/>
      <c r="I568" s="184"/>
      <c r="J568" s="184"/>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si="79"/>
        <v>0</v>
      </c>
      <c r="AB568" s="228" t="str">
        <f t="shared" si="80"/>
        <v/>
      </c>
    </row>
    <row r="569" spans="1:28" s="227" customFormat="1" ht="20.25">
      <c r="A569" s="181"/>
      <c r="B569" s="182"/>
      <c r="C569" s="186"/>
      <c r="D569" s="230"/>
      <c r="E569" s="182"/>
      <c r="F569" s="182"/>
      <c r="G569" s="182"/>
      <c r="H569" s="183"/>
      <c r="I569" s="184"/>
      <c r="J569" s="184"/>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si="79"/>
        <v>0</v>
      </c>
      <c r="AB569" s="228" t="str">
        <f t="shared" si="80"/>
        <v/>
      </c>
    </row>
    <row r="570" spans="1:28" s="227" customFormat="1" ht="20.25">
      <c r="A570" s="181"/>
      <c r="B570" s="182"/>
      <c r="C570" s="186"/>
      <c r="D570" s="230"/>
      <c r="E570" s="182"/>
      <c r="F570" s="182"/>
      <c r="G570" s="182"/>
      <c r="H570" s="183"/>
      <c r="I570" s="184"/>
      <c r="J570" s="184"/>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si="79"/>
        <v>0</v>
      </c>
      <c r="AB570" s="228" t="str">
        <f t="shared" si="80"/>
        <v/>
      </c>
    </row>
    <row r="571" spans="1:28" s="227" customFormat="1" ht="20.25">
      <c r="A571" s="181"/>
      <c r="B571" s="182"/>
      <c r="C571" s="186"/>
      <c r="D571" s="230"/>
      <c r="E571" s="182"/>
      <c r="F571" s="182"/>
      <c r="G571" s="182"/>
      <c r="H571" s="183"/>
      <c r="I571" s="184"/>
      <c r="J571" s="184"/>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si="79"/>
        <v>0</v>
      </c>
      <c r="AB571" s="228" t="str">
        <f t="shared" si="80"/>
        <v/>
      </c>
    </row>
    <row r="572" spans="1:28" s="227" customFormat="1" ht="20.25">
      <c r="A572" s="181"/>
      <c r="B572" s="182"/>
      <c r="C572" s="186"/>
      <c r="D572" s="230"/>
      <c r="E572" s="182"/>
      <c r="F572" s="182"/>
      <c r="G572" s="182"/>
      <c r="H572" s="183"/>
      <c r="I572" s="184"/>
      <c r="J572" s="184"/>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si="79"/>
        <v>0</v>
      </c>
      <c r="AB572" s="228" t="str">
        <f t="shared" si="80"/>
        <v/>
      </c>
    </row>
    <row r="573" spans="1:28" s="227" customFormat="1" ht="20.25">
      <c r="A573" s="181"/>
      <c r="B573" s="182"/>
      <c r="C573" s="186"/>
      <c r="D573" s="230"/>
      <c r="E573" s="182"/>
      <c r="F573" s="182"/>
      <c r="G573" s="182"/>
      <c r="H573" s="183"/>
      <c r="I573" s="184"/>
      <c r="J573" s="184"/>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si="79"/>
        <v>0</v>
      </c>
      <c r="AB573" s="228" t="str">
        <f t="shared" si="80"/>
        <v/>
      </c>
    </row>
    <row r="574" spans="1:28" s="227" customFormat="1" ht="20.25">
      <c r="A574" s="181"/>
      <c r="B574" s="182"/>
      <c r="C574" s="186"/>
      <c r="D574" s="230"/>
      <c r="E574" s="182"/>
      <c r="F574" s="182"/>
      <c r="G574" s="182"/>
      <c r="H574" s="183"/>
      <c r="I574" s="184"/>
      <c r="J574" s="184"/>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si="79"/>
        <v>0</v>
      </c>
      <c r="AB574" s="228" t="str">
        <f t="shared" si="80"/>
        <v/>
      </c>
    </row>
    <row r="575" spans="1:28" s="227" customFormat="1" ht="20.25">
      <c r="A575" s="181"/>
      <c r="B575" s="182"/>
      <c r="C575" s="186"/>
      <c r="D575" s="230"/>
      <c r="E575" s="182"/>
      <c r="F575" s="182"/>
      <c r="G575" s="182"/>
      <c r="H575" s="183"/>
      <c r="I575" s="184"/>
      <c r="J575" s="184"/>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si="79"/>
        <v>0</v>
      </c>
      <c r="AB575" s="228" t="str">
        <f t="shared" si="80"/>
        <v/>
      </c>
    </row>
    <row r="576" spans="1:28" s="227" customFormat="1" ht="20.25">
      <c r="A576" s="181"/>
      <c r="B576" s="182"/>
      <c r="C576" s="186"/>
      <c r="D576" s="230"/>
      <c r="E576" s="182"/>
      <c r="F576" s="182"/>
      <c r="G576" s="182"/>
      <c r="H576" s="183"/>
      <c r="I576" s="184"/>
      <c r="J576" s="184"/>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si="79"/>
        <v>0</v>
      </c>
      <c r="AB576" s="228" t="str">
        <f t="shared" si="80"/>
        <v/>
      </c>
    </row>
    <row r="577" spans="1:28" s="227" customFormat="1" ht="20.25">
      <c r="A577" s="181"/>
      <c r="B577" s="182"/>
      <c r="C577" s="186"/>
      <c r="D577" s="230"/>
      <c r="E577" s="182"/>
      <c r="F577" s="182"/>
      <c r="G577" s="182"/>
      <c r="H577" s="183"/>
      <c r="I577" s="184"/>
      <c r="J577" s="184"/>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si="79"/>
        <v>0</v>
      </c>
      <c r="AB577" s="228" t="str">
        <f t="shared" si="80"/>
        <v/>
      </c>
    </row>
    <row r="578" spans="1:28" s="227" customFormat="1" ht="20.25">
      <c r="A578" s="181"/>
      <c r="B578" s="182"/>
      <c r="C578" s="186"/>
      <c r="D578" s="230"/>
      <c r="E578" s="182"/>
      <c r="F578" s="182"/>
      <c r="G578" s="182"/>
      <c r="H578" s="183"/>
      <c r="I578" s="184"/>
      <c r="J578" s="184"/>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si="79"/>
        <v>0</v>
      </c>
      <c r="AB578" s="228" t="str">
        <f t="shared" si="80"/>
        <v/>
      </c>
    </row>
    <row r="579" spans="1:28" s="227" customFormat="1" ht="20.25">
      <c r="A579" s="181"/>
      <c r="B579" s="182"/>
      <c r="C579" s="186"/>
      <c r="D579" s="230"/>
      <c r="E579" s="182"/>
      <c r="F579" s="182"/>
      <c r="G579" s="182"/>
      <c r="H579" s="183"/>
      <c r="I579" s="184"/>
      <c r="J579" s="184"/>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si="79"/>
        <v>0</v>
      </c>
      <c r="AB579" s="228" t="str">
        <f t="shared" si="80"/>
        <v/>
      </c>
    </row>
    <row r="580" spans="1:28" s="227" customFormat="1" ht="20.25">
      <c r="A580" s="181"/>
      <c r="B580" s="182"/>
      <c r="C580" s="186"/>
      <c r="D580" s="230"/>
      <c r="E580" s="182"/>
      <c r="F580" s="182"/>
      <c r="G580" s="182"/>
      <c r="H580" s="183"/>
      <c r="I580" s="184"/>
      <c r="J580" s="184"/>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si="79"/>
        <v>0</v>
      </c>
      <c r="AB580" s="228" t="str">
        <f t="shared" si="80"/>
        <v/>
      </c>
    </row>
    <row r="581" spans="1:28" s="227" customFormat="1" ht="20.25">
      <c r="A581" s="181"/>
      <c r="B581" s="182"/>
      <c r="C581" s="186"/>
      <c r="D581" s="230"/>
      <c r="E581" s="182"/>
      <c r="F581" s="182"/>
      <c r="G581" s="182"/>
      <c r="H581" s="183"/>
      <c r="I581" s="184"/>
      <c r="J581" s="184"/>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si="82">IF(AND(C581="Smelter not listed",OR(LEN(D581)=0,LEN(E581)=0)),1,0)</f>
        <v>0</v>
      </c>
      <c r="AB581" s="228" t="str">
        <f t="shared" ref="AB581" si="83">B581&amp;C581</f>
        <v/>
      </c>
    </row>
    <row r="582" spans="1:28" s="227" customFormat="1" ht="20.25">
      <c r="A582" s="181"/>
      <c r="B582" s="182"/>
      <c r="C582" s="186"/>
      <c r="D582" s="230"/>
      <c r="E582" s="182"/>
      <c r="F582" s="182"/>
      <c r="G582" s="182"/>
      <c r="H582" s="183"/>
      <c r="I582" s="184"/>
      <c r="J582" s="184"/>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IF(AND(C582="Smelter not listed",OR(LEN(D582)=0,LEN(E582)=0)),1,0)</f>
        <v>0</v>
      </c>
      <c r="AB582" s="228" t="str">
        <f>B582&amp;C582</f>
        <v/>
      </c>
    </row>
    <row r="583" spans="1:28" s="227" customFormat="1" ht="20.25">
      <c r="A583" s="181"/>
      <c r="B583" s="182"/>
      <c r="C583" s="186"/>
      <c r="D583" s="230"/>
      <c r="E583" s="182"/>
      <c r="F583" s="182"/>
      <c r="G583" s="182"/>
      <c r="H583" s="183"/>
      <c r="I583" s="184"/>
      <c r="J583" s="184"/>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IF(AND(C583="Smelter not listed",OR(LEN(D583)=0,LEN(E583)=0)),1,0)</f>
        <v>0</v>
      </c>
      <c r="AB583" s="228" t="str">
        <f>B583&amp;C583</f>
        <v/>
      </c>
    </row>
    <row r="584" spans="1:28" s="227" customFormat="1" ht="20.25">
      <c r="A584" s="181"/>
      <c r="B584" s="182"/>
      <c r="C584" s="186"/>
      <c r="D584" s="230"/>
      <c r="E584" s="182"/>
      <c r="F584" s="182"/>
      <c r="G584" s="182"/>
      <c r="H584" s="183"/>
      <c r="I584" s="184"/>
      <c r="J584" s="184"/>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IF(AND(C584="Smelter not listed",OR(LEN(D584)=0,LEN(E584)=0)),1,0)</f>
        <v>0</v>
      </c>
      <c r="AB584" s="228" t="str">
        <f>B584&amp;C584</f>
        <v/>
      </c>
    </row>
    <row r="585" spans="1:28" s="227" customFormat="1" ht="20.25">
      <c r="A585" s="181"/>
      <c r="B585" s="182"/>
      <c r="C585" s="186"/>
      <c r="D585" s="230"/>
      <c r="E585" s="182"/>
      <c r="F585" s="182"/>
      <c r="G585" s="182"/>
      <c r="H585" s="183"/>
      <c r="I585" s="184"/>
      <c r="J585" s="184"/>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IF(AND(C585="Smelter not listed",OR(LEN(D585)=0,LEN(E585)=0)),1,0)</f>
        <v>0</v>
      </c>
      <c r="AB585" s="228" t="str">
        <f>B585&amp;C585</f>
        <v/>
      </c>
    </row>
    <row r="586" spans="1:28" s="227" customFormat="1" ht="20.25">
      <c r="A586" s="181"/>
      <c r="B586" s="182"/>
      <c r="C586" s="186"/>
      <c r="D586" s="230"/>
      <c r="E586" s="182"/>
      <c r="F586" s="182"/>
      <c r="G586" s="182"/>
      <c r="H586" s="183"/>
      <c r="I586" s="184"/>
      <c r="J586" s="184"/>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si="85">IF(AND(C586="Smelter not listed",OR(LEN(D586)=0,LEN(E586)=0)),1,0)</f>
        <v>0</v>
      </c>
      <c r="AB586" s="228" t="str">
        <f t="shared" ref="AB586" si="86">B586&amp;C586</f>
        <v/>
      </c>
    </row>
    <row r="587" spans="1:28" s="227" customFormat="1" ht="20.25">
      <c r="A587" s="181"/>
      <c r="B587" s="182"/>
      <c r="C587" s="186"/>
      <c r="D587" s="230"/>
      <c r="E587" s="182"/>
      <c r="F587" s="182"/>
      <c r="G587" s="182"/>
      <c r="H587" s="183"/>
      <c r="I587" s="184"/>
      <c r="J587" s="184"/>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si="88">IF(AND(C587="Smelter not listed",OR(LEN(D587)=0,LEN(E587)=0)),1,0)</f>
        <v>0</v>
      </c>
      <c r="AB587" s="228" t="str">
        <f t="shared" ref="AB587:AB634" si="89">B587&amp;C587</f>
        <v/>
      </c>
    </row>
    <row r="588" spans="1:28" s="227" customFormat="1" ht="20.25">
      <c r="A588" s="181"/>
      <c r="B588" s="182"/>
      <c r="C588" s="186"/>
      <c r="D588" s="230"/>
      <c r="E588" s="182"/>
      <c r="F588" s="182"/>
      <c r="G588" s="182"/>
      <c r="H588" s="183"/>
      <c r="I588" s="184"/>
      <c r="J588" s="184"/>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si="88"/>
        <v>0</v>
      </c>
      <c r="AB588" s="228" t="str">
        <f t="shared" si="89"/>
        <v/>
      </c>
    </row>
    <row r="589" spans="1:28" s="227" customFormat="1" ht="20.25">
      <c r="A589" s="181"/>
      <c r="B589" s="182"/>
      <c r="C589" s="186"/>
      <c r="D589" s="230"/>
      <c r="E589" s="182"/>
      <c r="F589" s="182"/>
      <c r="G589" s="182"/>
      <c r="H589" s="183"/>
      <c r="I589" s="184"/>
      <c r="J589" s="184"/>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si="88"/>
        <v>0</v>
      </c>
      <c r="AB589" s="228" t="str">
        <f t="shared" si="89"/>
        <v/>
      </c>
    </row>
    <row r="590" spans="1:28" s="227" customFormat="1" ht="20.25">
      <c r="A590" s="181"/>
      <c r="B590" s="182"/>
      <c r="C590" s="186"/>
      <c r="D590" s="230"/>
      <c r="E590" s="182"/>
      <c r="F590" s="182"/>
      <c r="G590" s="182"/>
      <c r="H590" s="183"/>
      <c r="I590" s="184"/>
      <c r="J590" s="184"/>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si="88"/>
        <v>0</v>
      </c>
      <c r="AB590" s="228" t="str">
        <f t="shared" si="89"/>
        <v/>
      </c>
    </row>
    <row r="591" spans="1:28" s="227" customFormat="1" ht="20.25">
      <c r="A591" s="181"/>
      <c r="B591" s="182"/>
      <c r="C591" s="186"/>
      <c r="D591" s="230"/>
      <c r="E591" s="182"/>
      <c r="F591" s="182"/>
      <c r="G591" s="182"/>
      <c r="H591" s="183"/>
      <c r="I591" s="184"/>
      <c r="J591" s="184"/>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si="88"/>
        <v>0</v>
      </c>
      <c r="AB591" s="228" t="str">
        <f t="shared" si="89"/>
        <v/>
      </c>
    </row>
    <row r="592" spans="1:28" s="227" customFormat="1" ht="20.25">
      <c r="A592" s="181"/>
      <c r="B592" s="182"/>
      <c r="C592" s="186"/>
      <c r="D592" s="230"/>
      <c r="E592" s="182"/>
      <c r="F592" s="182"/>
      <c r="G592" s="182"/>
      <c r="H592" s="183"/>
      <c r="I592" s="184"/>
      <c r="J592" s="184"/>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si="88"/>
        <v>0</v>
      </c>
      <c r="AB592" s="228" t="str">
        <f t="shared" si="89"/>
        <v/>
      </c>
    </row>
    <row r="593" spans="1:28" s="227" customFormat="1" ht="20.25">
      <c r="A593" s="181"/>
      <c r="B593" s="182"/>
      <c r="C593" s="186"/>
      <c r="D593" s="230"/>
      <c r="E593" s="182"/>
      <c r="F593" s="182"/>
      <c r="G593" s="182"/>
      <c r="H593" s="183"/>
      <c r="I593" s="184"/>
      <c r="J593" s="184"/>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si="88"/>
        <v>0</v>
      </c>
      <c r="AB593" s="228" t="str">
        <f t="shared" si="89"/>
        <v/>
      </c>
    </row>
    <row r="594" spans="1:28" s="227" customFormat="1" ht="20.25">
      <c r="A594" s="181"/>
      <c r="B594" s="182"/>
      <c r="C594" s="186"/>
      <c r="D594" s="230"/>
      <c r="E594" s="182"/>
      <c r="F594" s="182"/>
      <c r="G594" s="182"/>
      <c r="H594" s="183"/>
      <c r="I594" s="184"/>
      <c r="J594" s="184"/>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si="88"/>
        <v>0</v>
      </c>
      <c r="AB594" s="228" t="str">
        <f t="shared" si="89"/>
        <v/>
      </c>
    </row>
    <row r="595" spans="1:28" s="227" customFormat="1" ht="20.25">
      <c r="A595" s="181"/>
      <c r="B595" s="182"/>
      <c r="C595" s="186"/>
      <c r="D595" s="230"/>
      <c r="E595" s="182"/>
      <c r="F595" s="182"/>
      <c r="G595" s="182"/>
      <c r="H595" s="183"/>
      <c r="I595" s="184"/>
      <c r="J595" s="184"/>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si="88"/>
        <v>0</v>
      </c>
      <c r="AB595" s="228" t="str">
        <f t="shared" si="89"/>
        <v/>
      </c>
    </row>
    <row r="596" spans="1:28" s="227" customFormat="1" ht="20.25">
      <c r="A596" s="181"/>
      <c r="B596" s="182"/>
      <c r="C596" s="186"/>
      <c r="D596" s="230"/>
      <c r="E596" s="182"/>
      <c r="F596" s="182"/>
      <c r="G596" s="182"/>
      <c r="H596" s="183"/>
      <c r="I596" s="184"/>
      <c r="J596" s="184"/>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si="88"/>
        <v>0</v>
      </c>
      <c r="AB596" s="228" t="str">
        <f t="shared" si="89"/>
        <v/>
      </c>
    </row>
    <row r="597" spans="1:28" s="227" customFormat="1" ht="20.25">
      <c r="A597" s="181"/>
      <c r="B597" s="182"/>
      <c r="C597" s="186"/>
      <c r="D597" s="230"/>
      <c r="E597" s="182"/>
      <c r="F597" s="182"/>
      <c r="G597" s="182"/>
      <c r="H597" s="183"/>
      <c r="I597" s="184"/>
      <c r="J597" s="184"/>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si="88"/>
        <v>0</v>
      </c>
      <c r="AB597" s="228" t="str">
        <f t="shared" si="89"/>
        <v/>
      </c>
    </row>
    <row r="598" spans="1:28" s="227" customFormat="1" ht="20.25">
      <c r="A598" s="181"/>
      <c r="B598" s="182"/>
      <c r="C598" s="186"/>
      <c r="D598" s="230"/>
      <c r="E598" s="182"/>
      <c r="F598" s="182"/>
      <c r="G598" s="182"/>
      <c r="H598" s="183"/>
      <c r="I598" s="184"/>
      <c r="J598" s="184"/>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si="88"/>
        <v>0</v>
      </c>
      <c r="AB598" s="228" t="str">
        <f t="shared" si="89"/>
        <v/>
      </c>
    </row>
    <row r="599" spans="1:28" s="227" customFormat="1" ht="20.25">
      <c r="A599" s="181"/>
      <c r="B599" s="182"/>
      <c r="C599" s="186"/>
      <c r="D599" s="230"/>
      <c r="E599" s="182"/>
      <c r="F599" s="182"/>
      <c r="G599" s="182"/>
      <c r="H599" s="183"/>
      <c r="I599" s="184"/>
      <c r="J599" s="184"/>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si="88"/>
        <v>0</v>
      </c>
      <c r="AB599" s="228" t="str">
        <f t="shared" si="89"/>
        <v/>
      </c>
    </row>
    <row r="600" spans="1:28" s="227" customFormat="1" ht="20.25">
      <c r="A600" s="181"/>
      <c r="B600" s="182"/>
      <c r="C600" s="186"/>
      <c r="D600" s="230"/>
      <c r="E600" s="182"/>
      <c r="F600" s="182"/>
      <c r="G600" s="182"/>
      <c r="H600" s="183"/>
      <c r="I600" s="184"/>
      <c r="J600" s="184"/>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si="88"/>
        <v>0</v>
      </c>
      <c r="AB600" s="228" t="str">
        <f t="shared" si="89"/>
        <v/>
      </c>
    </row>
    <row r="601" spans="1:28" s="227" customFormat="1" ht="20.25">
      <c r="A601" s="181"/>
      <c r="B601" s="182"/>
      <c r="C601" s="186"/>
      <c r="D601" s="230"/>
      <c r="E601" s="182"/>
      <c r="F601" s="182"/>
      <c r="G601" s="182"/>
      <c r="H601" s="183"/>
      <c r="I601" s="184"/>
      <c r="J601" s="184"/>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si="88"/>
        <v>0</v>
      </c>
      <c r="AB601" s="228" t="str">
        <f t="shared" si="89"/>
        <v/>
      </c>
    </row>
    <row r="602" spans="1:28" s="227" customFormat="1" ht="20.25">
      <c r="A602" s="181"/>
      <c r="B602" s="182"/>
      <c r="C602" s="186"/>
      <c r="D602" s="230"/>
      <c r="E602" s="182"/>
      <c r="F602" s="182"/>
      <c r="G602" s="182"/>
      <c r="H602" s="183"/>
      <c r="I602" s="184"/>
      <c r="J602" s="184"/>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si="88"/>
        <v>0</v>
      </c>
      <c r="AB602" s="228" t="str">
        <f t="shared" si="89"/>
        <v/>
      </c>
    </row>
    <row r="603" spans="1:28" s="227" customFormat="1" ht="20.25">
      <c r="A603" s="181"/>
      <c r="B603" s="182"/>
      <c r="C603" s="186"/>
      <c r="D603" s="230"/>
      <c r="E603" s="182"/>
      <c r="F603" s="182"/>
      <c r="G603" s="182"/>
      <c r="H603" s="183"/>
      <c r="I603" s="184"/>
      <c r="J603" s="184"/>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si="88"/>
        <v>0</v>
      </c>
      <c r="AB603" s="228" t="str">
        <f t="shared" si="89"/>
        <v/>
      </c>
    </row>
    <row r="604" spans="1:28" s="227" customFormat="1" ht="20.25">
      <c r="A604" s="181"/>
      <c r="B604" s="182"/>
      <c r="C604" s="186"/>
      <c r="D604" s="230"/>
      <c r="E604" s="182"/>
      <c r="F604" s="182"/>
      <c r="G604" s="182"/>
      <c r="H604" s="183"/>
      <c r="I604" s="184"/>
      <c r="J604" s="184"/>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si="88"/>
        <v>0</v>
      </c>
      <c r="AB604" s="228" t="str">
        <f t="shared" si="89"/>
        <v/>
      </c>
    </row>
    <row r="605" spans="1:28" s="227" customFormat="1" ht="20.25">
      <c r="A605" s="181"/>
      <c r="B605" s="182"/>
      <c r="C605" s="186"/>
      <c r="D605" s="230"/>
      <c r="E605" s="182"/>
      <c r="F605" s="182"/>
      <c r="G605" s="182"/>
      <c r="H605" s="183"/>
      <c r="I605" s="184"/>
      <c r="J605" s="184"/>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si="88"/>
        <v>0</v>
      </c>
      <c r="AB605" s="228" t="str">
        <f t="shared" si="89"/>
        <v/>
      </c>
    </row>
    <row r="606" spans="1:28" s="227" customFormat="1" ht="20.25">
      <c r="A606" s="181"/>
      <c r="B606" s="182"/>
      <c r="C606" s="186"/>
      <c r="D606" s="230"/>
      <c r="E606" s="182"/>
      <c r="F606" s="182"/>
      <c r="G606" s="182"/>
      <c r="H606" s="183"/>
      <c r="I606" s="184"/>
      <c r="J606" s="184"/>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si="88"/>
        <v>0</v>
      </c>
      <c r="AB606" s="228" t="str">
        <f t="shared" si="89"/>
        <v/>
      </c>
    </row>
    <row r="607" spans="1:28" s="227" customFormat="1" ht="20.25">
      <c r="A607" s="181"/>
      <c r="B607" s="182"/>
      <c r="C607" s="186"/>
      <c r="D607" s="230"/>
      <c r="E607" s="182"/>
      <c r="F607" s="182"/>
      <c r="G607" s="182"/>
      <c r="H607" s="183"/>
      <c r="I607" s="184"/>
      <c r="J607" s="184"/>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si="88"/>
        <v>0</v>
      </c>
      <c r="AB607" s="228" t="str">
        <f t="shared" si="89"/>
        <v/>
      </c>
    </row>
    <row r="608" spans="1:28" s="227" customFormat="1" ht="20.25">
      <c r="A608" s="181"/>
      <c r="B608" s="182"/>
      <c r="C608" s="186"/>
      <c r="D608" s="230"/>
      <c r="E608" s="182"/>
      <c r="F608" s="182"/>
      <c r="G608" s="182"/>
      <c r="H608" s="183"/>
      <c r="I608" s="184"/>
      <c r="J608" s="184"/>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si="88"/>
        <v>0</v>
      </c>
      <c r="AB608" s="228" t="str">
        <f t="shared" si="89"/>
        <v/>
      </c>
    </row>
    <row r="609" spans="1:28" s="227" customFormat="1" ht="20.25">
      <c r="A609" s="181"/>
      <c r="B609" s="182"/>
      <c r="C609" s="186"/>
      <c r="D609" s="230"/>
      <c r="E609" s="182"/>
      <c r="F609" s="182"/>
      <c r="G609" s="182"/>
      <c r="H609" s="183"/>
      <c r="I609" s="184"/>
      <c r="J609" s="184"/>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si="88"/>
        <v>0</v>
      </c>
      <c r="AB609" s="228" t="str">
        <f t="shared" si="89"/>
        <v/>
      </c>
    </row>
    <row r="610" spans="1:28" s="227" customFormat="1" ht="20.25">
      <c r="A610" s="181"/>
      <c r="B610" s="182"/>
      <c r="C610" s="186"/>
      <c r="D610" s="230"/>
      <c r="E610" s="182"/>
      <c r="F610" s="182"/>
      <c r="G610" s="182"/>
      <c r="H610" s="183"/>
      <c r="I610" s="184"/>
      <c r="J610" s="184"/>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si="88"/>
        <v>0</v>
      </c>
      <c r="AB610" s="228" t="str">
        <f t="shared" si="89"/>
        <v/>
      </c>
    </row>
    <row r="611" spans="1:28" s="227" customFormat="1" ht="20.25">
      <c r="A611" s="181"/>
      <c r="B611" s="182"/>
      <c r="C611" s="186"/>
      <c r="D611" s="230"/>
      <c r="E611" s="182"/>
      <c r="F611" s="182"/>
      <c r="G611" s="182"/>
      <c r="H611" s="183"/>
      <c r="I611" s="184"/>
      <c r="J611" s="184"/>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si="88"/>
        <v>0</v>
      </c>
      <c r="AB611" s="228" t="str">
        <f t="shared" si="89"/>
        <v/>
      </c>
    </row>
    <row r="612" spans="1:28" s="227" customFormat="1" ht="20.25">
      <c r="A612" s="181"/>
      <c r="B612" s="182"/>
      <c r="C612" s="186"/>
      <c r="D612" s="230"/>
      <c r="E612" s="182"/>
      <c r="F612" s="182"/>
      <c r="G612" s="182"/>
      <c r="H612" s="183"/>
      <c r="I612" s="184"/>
      <c r="J612" s="184"/>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si="88"/>
        <v>0</v>
      </c>
      <c r="AB612" s="228" t="str">
        <f t="shared" si="89"/>
        <v/>
      </c>
    </row>
    <row r="613" spans="1:28" s="227" customFormat="1" ht="20.25">
      <c r="A613" s="181"/>
      <c r="B613" s="182"/>
      <c r="C613" s="186"/>
      <c r="D613" s="230"/>
      <c r="E613" s="182"/>
      <c r="F613" s="182"/>
      <c r="G613" s="182"/>
      <c r="H613" s="183"/>
      <c r="I613" s="184"/>
      <c r="J613" s="184"/>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si="88"/>
        <v>0</v>
      </c>
      <c r="AB613" s="228" t="str">
        <f t="shared" si="89"/>
        <v/>
      </c>
    </row>
    <row r="614" spans="1:28" s="227" customFormat="1" ht="20.25">
      <c r="A614" s="181"/>
      <c r="B614" s="182"/>
      <c r="C614" s="186"/>
      <c r="D614" s="230"/>
      <c r="E614" s="182"/>
      <c r="F614" s="182"/>
      <c r="G614" s="182"/>
      <c r="H614" s="183"/>
      <c r="I614" s="184"/>
      <c r="J614" s="184"/>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si="88"/>
        <v>0</v>
      </c>
      <c r="AB614" s="228" t="str">
        <f t="shared" si="89"/>
        <v/>
      </c>
    </row>
    <row r="615" spans="1:28" s="227" customFormat="1" ht="20.25">
      <c r="A615" s="181"/>
      <c r="B615" s="182"/>
      <c r="C615" s="186"/>
      <c r="D615" s="230"/>
      <c r="E615" s="182"/>
      <c r="F615" s="182"/>
      <c r="G615" s="182"/>
      <c r="H615" s="183"/>
      <c r="I615" s="184"/>
      <c r="J615" s="184"/>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si="88"/>
        <v>0</v>
      </c>
      <c r="AB615" s="228" t="str">
        <f t="shared" si="89"/>
        <v/>
      </c>
    </row>
    <row r="616" spans="1:28" s="227" customFormat="1" ht="20.25">
      <c r="A616" s="181"/>
      <c r="B616" s="182"/>
      <c r="C616" s="186"/>
      <c r="D616" s="230"/>
      <c r="E616" s="182"/>
      <c r="F616" s="182"/>
      <c r="G616" s="182"/>
      <c r="H616" s="183"/>
      <c r="I616" s="184"/>
      <c r="J616" s="184"/>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si="88"/>
        <v>0</v>
      </c>
      <c r="AB616" s="228" t="str">
        <f t="shared" si="89"/>
        <v/>
      </c>
    </row>
    <row r="617" spans="1:28" s="227" customFormat="1" ht="20.25">
      <c r="A617" s="181"/>
      <c r="B617" s="182"/>
      <c r="C617" s="186"/>
      <c r="D617" s="230"/>
      <c r="E617" s="182"/>
      <c r="F617" s="182"/>
      <c r="G617" s="182"/>
      <c r="H617" s="183"/>
      <c r="I617" s="184"/>
      <c r="J617" s="184"/>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si="88"/>
        <v>0</v>
      </c>
      <c r="AB617" s="228" t="str">
        <f t="shared" si="89"/>
        <v/>
      </c>
    </row>
    <row r="618" spans="1:28" s="227" customFormat="1" ht="20.25">
      <c r="A618" s="181"/>
      <c r="B618" s="182"/>
      <c r="C618" s="186"/>
      <c r="D618" s="230"/>
      <c r="E618" s="182"/>
      <c r="F618" s="182"/>
      <c r="G618" s="182"/>
      <c r="H618" s="183"/>
      <c r="I618" s="184"/>
      <c r="J618" s="184"/>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si="88"/>
        <v>0</v>
      </c>
      <c r="AB618" s="228" t="str">
        <f t="shared" si="89"/>
        <v/>
      </c>
    </row>
    <row r="619" spans="1:28" s="227" customFormat="1" ht="20.25">
      <c r="A619" s="181"/>
      <c r="B619" s="182"/>
      <c r="C619" s="186"/>
      <c r="D619" s="230"/>
      <c r="E619" s="182"/>
      <c r="F619" s="182"/>
      <c r="G619" s="182"/>
      <c r="H619" s="183"/>
      <c r="I619" s="184"/>
      <c r="J619" s="184"/>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si="88"/>
        <v>0</v>
      </c>
      <c r="AB619" s="228" t="str">
        <f t="shared" si="89"/>
        <v/>
      </c>
    </row>
    <row r="620" spans="1:28" s="227" customFormat="1" ht="20.25">
      <c r="A620" s="181"/>
      <c r="B620" s="182"/>
      <c r="C620" s="186"/>
      <c r="D620" s="230"/>
      <c r="E620" s="182"/>
      <c r="F620" s="182"/>
      <c r="G620" s="182"/>
      <c r="H620" s="183"/>
      <c r="I620" s="184"/>
      <c r="J620" s="184"/>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si="88"/>
        <v>0</v>
      </c>
      <c r="AB620" s="228" t="str">
        <f t="shared" si="89"/>
        <v/>
      </c>
    </row>
    <row r="621" spans="1:28" s="227" customFormat="1" ht="20.25">
      <c r="A621" s="181"/>
      <c r="B621" s="182"/>
      <c r="C621" s="186"/>
      <c r="D621" s="230"/>
      <c r="E621" s="182"/>
      <c r="F621" s="182"/>
      <c r="G621" s="182"/>
      <c r="H621" s="183"/>
      <c r="I621" s="184"/>
      <c r="J621" s="184"/>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si="88"/>
        <v>0</v>
      </c>
      <c r="AB621" s="228" t="str">
        <f t="shared" si="89"/>
        <v/>
      </c>
    </row>
    <row r="622" spans="1:28" s="227" customFormat="1" ht="20.25">
      <c r="A622" s="181"/>
      <c r="B622" s="182"/>
      <c r="C622" s="186"/>
      <c r="D622" s="230"/>
      <c r="E622" s="182"/>
      <c r="F622" s="182"/>
      <c r="G622" s="182"/>
      <c r="H622" s="183"/>
      <c r="I622" s="184"/>
      <c r="J622" s="184"/>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si="88"/>
        <v>0</v>
      </c>
      <c r="AB622" s="228" t="str">
        <f t="shared" si="89"/>
        <v/>
      </c>
    </row>
    <row r="623" spans="1:28" s="227" customFormat="1" ht="20.25">
      <c r="A623" s="181"/>
      <c r="B623" s="182"/>
      <c r="C623" s="186"/>
      <c r="D623" s="230"/>
      <c r="E623" s="182"/>
      <c r="F623" s="182"/>
      <c r="G623" s="182"/>
      <c r="H623" s="183"/>
      <c r="I623" s="184"/>
      <c r="J623" s="184"/>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si="88"/>
        <v>0</v>
      </c>
      <c r="AB623" s="228" t="str">
        <f t="shared" si="89"/>
        <v/>
      </c>
    </row>
    <row r="624" spans="1:28" s="227" customFormat="1" ht="20.25">
      <c r="A624" s="181"/>
      <c r="B624" s="182"/>
      <c r="C624" s="186"/>
      <c r="D624" s="230"/>
      <c r="E624" s="182"/>
      <c r="F624" s="182"/>
      <c r="G624" s="182"/>
      <c r="H624" s="183"/>
      <c r="I624" s="184"/>
      <c r="J624" s="184"/>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si="88"/>
        <v>0</v>
      </c>
      <c r="AB624" s="228" t="str">
        <f t="shared" si="89"/>
        <v/>
      </c>
    </row>
    <row r="625" spans="1:28" s="227" customFormat="1" ht="20.25">
      <c r="A625" s="181"/>
      <c r="B625" s="182"/>
      <c r="C625" s="186"/>
      <c r="D625" s="230"/>
      <c r="E625" s="182"/>
      <c r="F625" s="182"/>
      <c r="G625" s="182"/>
      <c r="H625" s="183"/>
      <c r="I625" s="184"/>
      <c r="J625" s="184"/>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si="88"/>
        <v>0</v>
      </c>
      <c r="AB625" s="228" t="str">
        <f t="shared" si="89"/>
        <v/>
      </c>
    </row>
    <row r="626" spans="1:28" s="227" customFormat="1" ht="20.25">
      <c r="A626" s="181"/>
      <c r="B626" s="182"/>
      <c r="C626" s="186"/>
      <c r="D626" s="230"/>
      <c r="E626" s="182"/>
      <c r="F626" s="182"/>
      <c r="G626" s="182"/>
      <c r="H626" s="183"/>
      <c r="I626" s="184"/>
      <c r="J626" s="184"/>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si="88"/>
        <v>0</v>
      </c>
      <c r="AB626" s="228" t="str">
        <f t="shared" si="89"/>
        <v/>
      </c>
    </row>
    <row r="627" spans="1:28" s="227" customFormat="1" ht="20.25">
      <c r="A627" s="181"/>
      <c r="B627" s="182"/>
      <c r="C627" s="186"/>
      <c r="D627" s="230"/>
      <c r="E627" s="182"/>
      <c r="F627" s="182"/>
      <c r="G627" s="182"/>
      <c r="H627" s="183"/>
      <c r="I627" s="184"/>
      <c r="J627" s="184"/>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si="88"/>
        <v>0</v>
      </c>
      <c r="AB627" s="228" t="str">
        <f t="shared" si="89"/>
        <v/>
      </c>
    </row>
    <row r="628" spans="1:28" s="227" customFormat="1" ht="20.25">
      <c r="A628" s="181"/>
      <c r="B628" s="182"/>
      <c r="C628" s="186"/>
      <c r="D628" s="230"/>
      <c r="E628" s="182"/>
      <c r="F628" s="182"/>
      <c r="G628" s="182"/>
      <c r="H628" s="183"/>
      <c r="I628" s="184"/>
      <c r="J628" s="184"/>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si="88"/>
        <v>0</v>
      </c>
      <c r="AB628" s="228" t="str">
        <f t="shared" si="89"/>
        <v/>
      </c>
    </row>
    <row r="629" spans="1:28" s="227" customFormat="1" ht="20.25">
      <c r="A629" s="181"/>
      <c r="B629" s="182"/>
      <c r="C629" s="186"/>
      <c r="D629" s="230"/>
      <c r="E629" s="182"/>
      <c r="F629" s="182"/>
      <c r="G629" s="182"/>
      <c r="H629" s="183"/>
      <c r="I629" s="184"/>
      <c r="J629" s="184"/>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si="88"/>
        <v>0</v>
      </c>
      <c r="AB629" s="228" t="str">
        <f t="shared" si="89"/>
        <v/>
      </c>
    </row>
    <row r="630" spans="1:28" s="227" customFormat="1" ht="20.25">
      <c r="A630" s="181"/>
      <c r="B630" s="182"/>
      <c r="C630" s="186"/>
      <c r="D630" s="230"/>
      <c r="E630" s="182"/>
      <c r="F630" s="182"/>
      <c r="G630" s="182"/>
      <c r="H630" s="183"/>
      <c r="I630" s="184"/>
      <c r="J630" s="184"/>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si="88"/>
        <v>0</v>
      </c>
      <c r="AB630" s="228" t="str">
        <f t="shared" si="89"/>
        <v/>
      </c>
    </row>
    <row r="631" spans="1:28" s="227" customFormat="1" ht="20.25">
      <c r="A631" s="181"/>
      <c r="B631" s="182"/>
      <c r="C631" s="186"/>
      <c r="D631" s="230"/>
      <c r="E631" s="182"/>
      <c r="F631" s="182"/>
      <c r="G631" s="182"/>
      <c r="H631" s="183"/>
      <c r="I631" s="184"/>
      <c r="J631" s="184"/>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si="88"/>
        <v>0</v>
      </c>
      <c r="AB631" s="228" t="str">
        <f t="shared" si="89"/>
        <v/>
      </c>
    </row>
    <row r="632" spans="1:28" s="227" customFormat="1" ht="20.25">
      <c r="A632" s="181"/>
      <c r="B632" s="182"/>
      <c r="C632" s="186"/>
      <c r="D632" s="230"/>
      <c r="E632" s="182"/>
      <c r="F632" s="182"/>
      <c r="G632" s="182"/>
      <c r="H632" s="183"/>
      <c r="I632" s="184"/>
      <c r="J632" s="184"/>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si="88"/>
        <v>0</v>
      </c>
      <c r="AB632" s="228" t="str">
        <f t="shared" si="89"/>
        <v/>
      </c>
    </row>
    <row r="633" spans="1:28" s="227" customFormat="1" ht="20.25">
      <c r="A633" s="181"/>
      <c r="B633" s="182"/>
      <c r="C633" s="186"/>
      <c r="D633" s="230"/>
      <c r="E633" s="182"/>
      <c r="F633" s="182"/>
      <c r="G633" s="182"/>
      <c r="H633" s="183"/>
      <c r="I633" s="184"/>
      <c r="J633" s="184"/>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si="88"/>
        <v>0</v>
      </c>
      <c r="AB633" s="228" t="str">
        <f t="shared" si="89"/>
        <v/>
      </c>
    </row>
    <row r="634" spans="1:28" s="227" customFormat="1" ht="20.25">
      <c r="A634" s="181"/>
      <c r="B634" s="182"/>
      <c r="C634" s="186"/>
      <c r="D634" s="230"/>
      <c r="E634" s="182"/>
      <c r="F634" s="182"/>
      <c r="G634" s="182"/>
      <c r="H634" s="183"/>
      <c r="I634" s="184"/>
      <c r="J634" s="184"/>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si="88"/>
        <v>0</v>
      </c>
      <c r="AB634" s="228" t="str">
        <f t="shared" si="89"/>
        <v/>
      </c>
    </row>
    <row r="635" spans="1:28" s="227" customFormat="1" ht="20.25">
      <c r="A635" s="181"/>
      <c r="B635" s="182"/>
      <c r="C635" s="186"/>
      <c r="D635" s="230"/>
      <c r="E635" s="182"/>
      <c r="F635" s="182"/>
      <c r="G635" s="182"/>
      <c r="H635" s="183"/>
      <c r="I635" s="184"/>
      <c r="J635" s="184"/>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si="91">IF(AND(C635="Smelter not listed",OR(LEN(D635)=0,LEN(E635)=0)),1,0)</f>
        <v>0</v>
      </c>
      <c r="AB635" s="228" t="str">
        <f t="shared" ref="AB635" si="92">B635&amp;C635</f>
        <v/>
      </c>
    </row>
    <row r="636" spans="1:28" s="227" customFormat="1" ht="20.25">
      <c r="A636" s="181"/>
      <c r="B636" s="182"/>
      <c r="C636" s="186"/>
      <c r="D636" s="230"/>
      <c r="E636" s="182"/>
      <c r="F636" s="182"/>
      <c r="G636" s="182"/>
      <c r="H636" s="183"/>
      <c r="I636" s="184"/>
      <c r="J636" s="184"/>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si="94">IF(AND(C636="Smelter not listed",OR(LEN(D636)=0,LEN(E636)=0)),1,0)</f>
        <v>0</v>
      </c>
      <c r="AB636" s="228" t="str">
        <f t="shared" ref="AB636:AB667" si="95">B636&amp;C636</f>
        <v/>
      </c>
    </row>
    <row r="637" spans="1:28" s="227" customFormat="1" ht="20.25">
      <c r="A637" s="181"/>
      <c r="B637" s="182"/>
      <c r="C637" s="186"/>
      <c r="D637" s="230"/>
      <c r="E637" s="182"/>
      <c r="F637" s="182"/>
      <c r="G637" s="182"/>
      <c r="H637" s="183"/>
      <c r="I637" s="184"/>
      <c r="J637" s="184"/>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si="94"/>
        <v>0</v>
      </c>
      <c r="AB637" s="228" t="str">
        <f t="shared" si="95"/>
        <v/>
      </c>
    </row>
    <row r="638" spans="1:28" s="227" customFormat="1" ht="20.25">
      <c r="A638" s="181"/>
      <c r="B638" s="182"/>
      <c r="C638" s="186"/>
      <c r="D638" s="230"/>
      <c r="E638" s="182"/>
      <c r="F638" s="182"/>
      <c r="G638" s="182"/>
      <c r="H638" s="183"/>
      <c r="I638" s="184"/>
      <c r="J638" s="184"/>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si="94"/>
        <v>0</v>
      </c>
      <c r="AB638" s="228" t="str">
        <f t="shared" si="95"/>
        <v/>
      </c>
    </row>
    <row r="639" spans="1:28" s="227" customFormat="1" ht="20.25">
      <c r="A639" s="181"/>
      <c r="B639" s="182"/>
      <c r="C639" s="186"/>
      <c r="D639" s="230"/>
      <c r="E639" s="182"/>
      <c r="F639" s="182"/>
      <c r="G639" s="182"/>
      <c r="H639" s="183"/>
      <c r="I639" s="184"/>
      <c r="J639" s="184"/>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si="94"/>
        <v>0</v>
      </c>
      <c r="AB639" s="228" t="str">
        <f t="shared" si="95"/>
        <v/>
      </c>
    </row>
    <row r="640" spans="1:28" s="227" customFormat="1" ht="20.25">
      <c r="A640" s="181"/>
      <c r="B640" s="182"/>
      <c r="C640" s="186"/>
      <c r="D640" s="230"/>
      <c r="E640" s="182"/>
      <c r="F640" s="182"/>
      <c r="G640" s="182"/>
      <c r="H640" s="183"/>
      <c r="I640" s="184"/>
      <c r="J640" s="184"/>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si="94"/>
        <v>0</v>
      </c>
      <c r="AB640" s="228" t="str">
        <f t="shared" si="95"/>
        <v/>
      </c>
    </row>
    <row r="641" spans="1:28" s="227" customFormat="1" ht="20.25">
      <c r="A641" s="181"/>
      <c r="B641" s="182"/>
      <c r="C641" s="186"/>
      <c r="D641" s="230"/>
      <c r="E641" s="182"/>
      <c r="F641" s="182"/>
      <c r="G641" s="182"/>
      <c r="H641" s="183"/>
      <c r="I641" s="184"/>
      <c r="J641" s="184"/>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si="94"/>
        <v>0</v>
      </c>
      <c r="AB641" s="228" t="str">
        <f t="shared" si="95"/>
        <v/>
      </c>
    </row>
    <row r="642" spans="1:28" s="227" customFormat="1" ht="20.25">
      <c r="A642" s="181"/>
      <c r="B642" s="182"/>
      <c r="C642" s="186"/>
      <c r="D642" s="230"/>
      <c r="E642" s="182"/>
      <c r="F642" s="182"/>
      <c r="G642" s="182"/>
      <c r="H642" s="183"/>
      <c r="I642" s="184"/>
      <c r="J642" s="184"/>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si="94"/>
        <v>0</v>
      </c>
      <c r="AB642" s="228" t="str">
        <f t="shared" si="95"/>
        <v/>
      </c>
    </row>
    <row r="643" spans="1:28" s="227" customFormat="1" ht="20.25">
      <c r="A643" s="181"/>
      <c r="B643" s="182"/>
      <c r="C643" s="186"/>
      <c r="D643" s="230"/>
      <c r="E643" s="182"/>
      <c r="F643" s="182"/>
      <c r="G643" s="182"/>
      <c r="H643" s="183"/>
      <c r="I643" s="184"/>
      <c r="J643" s="184"/>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si="94"/>
        <v>0</v>
      </c>
      <c r="AB643" s="228" t="str">
        <f t="shared" si="95"/>
        <v/>
      </c>
    </row>
    <row r="644" spans="1:28" s="227" customFormat="1" ht="20.25">
      <c r="A644" s="181"/>
      <c r="B644" s="182"/>
      <c r="C644" s="186"/>
      <c r="D644" s="230"/>
      <c r="E644" s="182"/>
      <c r="F644" s="182"/>
      <c r="G644" s="182"/>
      <c r="H644" s="183"/>
      <c r="I644" s="184"/>
      <c r="J644" s="184"/>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si="94"/>
        <v>0</v>
      </c>
      <c r="AB644" s="228" t="str">
        <f t="shared" si="95"/>
        <v/>
      </c>
    </row>
    <row r="645" spans="1:28" s="227" customFormat="1" ht="20.25">
      <c r="A645" s="181"/>
      <c r="B645" s="182"/>
      <c r="C645" s="186"/>
      <c r="D645" s="230"/>
      <c r="E645" s="182"/>
      <c r="F645" s="182"/>
      <c r="G645" s="182"/>
      <c r="H645" s="183"/>
      <c r="I645" s="184"/>
      <c r="J645" s="184"/>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si="94"/>
        <v>0</v>
      </c>
      <c r="AB645" s="228" t="str">
        <f t="shared" si="95"/>
        <v/>
      </c>
    </row>
    <row r="646" spans="1:28" s="227" customFormat="1" ht="20.25">
      <c r="A646" s="181"/>
      <c r="B646" s="182"/>
      <c r="C646" s="186"/>
      <c r="D646" s="230"/>
      <c r="E646" s="182"/>
      <c r="F646" s="182"/>
      <c r="G646" s="182"/>
      <c r="H646" s="183"/>
      <c r="I646" s="184"/>
      <c r="J646" s="184"/>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si="94"/>
        <v>0</v>
      </c>
      <c r="AB646" s="228" t="str">
        <f t="shared" si="95"/>
        <v/>
      </c>
    </row>
    <row r="647" spans="1:28" s="227" customFormat="1" ht="20.25">
      <c r="A647" s="181"/>
      <c r="B647" s="182"/>
      <c r="C647" s="186"/>
      <c r="D647" s="230"/>
      <c r="E647" s="182"/>
      <c r="F647" s="182"/>
      <c r="G647" s="182"/>
      <c r="H647" s="183"/>
      <c r="I647" s="184"/>
      <c r="J647" s="184"/>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si="94"/>
        <v>0</v>
      </c>
      <c r="AB647" s="228" t="str">
        <f t="shared" si="95"/>
        <v/>
      </c>
    </row>
    <row r="648" spans="1:28" s="227" customFormat="1" ht="20.25">
      <c r="A648" s="181"/>
      <c r="B648" s="182"/>
      <c r="C648" s="186"/>
      <c r="D648" s="230"/>
      <c r="E648" s="182"/>
      <c r="F648" s="182"/>
      <c r="G648" s="182"/>
      <c r="H648" s="183"/>
      <c r="I648" s="184"/>
      <c r="J648" s="184"/>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si="94"/>
        <v>0</v>
      </c>
      <c r="AB648" s="228" t="str">
        <f t="shared" si="95"/>
        <v/>
      </c>
    </row>
    <row r="649" spans="1:28" s="227" customFormat="1" ht="20.25">
      <c r="A649" s="181"/>
      <c r="B649" s="182"/>
      <c r="C649" s="186"/>
      <c r="D649" s="230"/>
      <c r="E649" s="182"/>
      <c r="F649" s="182"/>
      <c r="G649" s="182"/>
      <c r="H649" s="183"/>
      <c r="I649" s="184"/>
      <c r="J649" s="184"/>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si="94"/>
        <v>0</v>
      </c>
      <c r="AB649" s="228" t="str">
        <f t="shared" si="95"/>
        <v/>
      </c>
    </row>
    <row r="650" spans="1:28" s="227" customFormat="1" ht="20.25">
      <c r="A650" s="181"/>
      <c r="B650" s="182"/>
      <c r="C650" s="186"/>
      <c r="D650" s="230"/>
      <c r="E650" s="182"/>
      <c r="F650" s="182"/>
      <c r="G650" s="182"/>
      <c r="H650" s="183"/>
      <c r="I650" s="184"/>
      <c r="J650" s="184"/>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si="94"/>
        <v>0</v>
      </c>
      <c r="AB650" s="228" t="str">
        <f t="shared" si="95"/>
        <v/>
      </c>
    </row>
    <row r="651" spans="1:28" s="227" customFormat="1" ht="20.25">
      <c r="A651" s="181"/>
      <c r="B651" s="182"/>
      <c r="C651" s="186"/>
      <c r="D651" s="230"/>
      <c r="E651" s="182"/>
      <c r="F651" s="182"/>
      <c r="G651" s="182"/>
      <c r="H651" s="183"/>
      <c r="I651" s="184"/>
      <c r="J651" s="184"/>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si="94"/>
        <v>0</v>
      </c>
      <c r="AB651" s="228" t="str">
        <f t="shared" si="95"/>
        <v/>
      </c>
    </row>
    <row r="652" spans="1:28" s="227" customFormat="1" ht="20.25">
      <c r="A652" s="181"/>
      <c r="B652" s="182"/>
      <c r="C652" s="186"/>
      <c r="D652" s="230"/>
      <c r="E652" s="182"/>
      <c r="F652" s="182"/>
      <c r="G652" s="182"/>
      <c r="H652" s="183"/>
      <c r="I652" s="184"/>
      <c r="J652" s="184"/>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si="94"/>
        <v>0</v>
      </c>
      <c r="AB652" s="228" t="str">
        <f t="shared" si="95"/>
        <v/>
      </c>
    </row>
    <row r="653" spans="1:28" s="227" customFormat="1" ht="20.25">
      <c r="A653" s="181"/>
      <c r="B653" s="182"/>
      <c r="C653" s="186"/>
      <c r="D653" s="230"/>
      <c r="E653" s="182"/>
      <c r="F653" s="182"/>
      <c r="G653" s="182"/>
      <c r="H653" s="183"/>
      <c r="I653" s="184"/>
      <c r="J653" s="184"/>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si="94"/>
        <v>0</v>
      </c>
      <c r="AB653" s="228" t="str">
        <f t="shared" si="95"/>
        <v/>
      </c>
    </row>
    <row r="654" spans="1:28" s="227" customFormat="1" ht="20.25">
      <c r="A654" s="181"/>
      <c r="B654" s="182"/>
      <c r="C654" s="186"/>
      <c r="D654" s="230"/>
      <c r="E654" s="182"/>
      <c r="F654" s="182"/>
      <c r="G654" s="182"/>
      <c r="H654" s="183"/>
      <c r="I654" s="184"/>
      <c r="J654" s="184"/>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si="94"/>
        <v>0</v>
      </c>
      <c r="AB654" s="228" t="str">
        <f t="shared" si="95"/>
        <v/>
      </c>
    </row>
    <row r="655" spans="1:28" s="227" customFormat="1" ht="20.25">
      <c r="A655" s="181"/>
      <c r="B655" s="182"/>
      <c r="C655" s="186"/>
      <c r="D655" s="230"/>
      <c r="E655" s="182"/>
      <c r="F655" s="182"/>
      <c r="G655" s="182"/>
      <c r="H655" s="183"/>
      <c r="I655" s="184"/>
      <c r="J655" s="184"/>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si="94"/>
        <v>0</v>
      </c>
      <c r="AB655" s="228" t="str">
        <f t="shared" si="95"/>
        <v/>
      </c>
    </row>
    <row r="656" spans="1:28" s="227" customFormat="1" ht="20.25">
      <c r="A656" s="181"/>
      <c r="B656" s="182"/>
      <c r="C656" s="186"/>
      <c r="D656" s="230"/>
      <c r="E656" s="182"/>
      <c r="F656" s="182"/>
      <c r="G656" s="182"/>
      <c r="H656" s="183"/>
      <c r="I656" s="184"/>
      <c r="J656" s="184"/>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si="94"/>
        <v>0</v>
      </c>
      <c r="AB656" s="228" t="str">
        <f t="shared" si="95"/>
        <v/>
      </c>
    </row>
    <row r="657" spans="1:28" s="227" customFormat="1" ht="20.25">
      <c r="A657" s="181"/>
      <c r="B657" s="182"/>
      <c r="C657" s="186"/>
      <c r="D657" s="230"/>
      <c r="E657" s="182"/>
      <c r="F657" s="182"/>
      <c r="G657" s="182"/>
      <c r="H657" s="183"/>
      <c r="I657" s="184"/>
      <c r="J657" s="184"/>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si="94"/>
        <v>0</v>
      </c>
      <c r="AB657" s="228" t="str">
        <f t="shared" si="95"/>
        <v/>
      </c>
    </row>
    <row r="658" spans="1:28" s="227" customFormat="1" ht="20.25">
      <c r="A658" s="181"/>
      <c r="B658" s="182"/>
      <c r="C658" s="186"/>
      <c r="D658" s="230"/>
      <c r="E658" s="182"/>
      <c r="F658" s="182"/>
      <c r="G658" s="182"/>
      <c r="H658" s="183"/>
      <c r="I658" s="184"/>
      <c r="J658" s="184"/>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si="94"/>
        <v>0</v>
      </c>
      <c r="AB658" s="228" t="str">
        <f t="shared" si="95"/>
        <v/>
      </c>
    </row>
    <row r="659" spans="1:28" s="227" customFormat="1" ht="20.25">
      <c r="A659" s="181"/>
      <c r="B659" s="182"/>
      <c r="C659" s="186"/>
      <c r="D659" s="230"/>
      <c r="E659" s="182"/>
      <c r="F659" s="182"/>
      <c r="G659" s="182"/>
      <c r="H659" s="183"/>
      <c r="I659" s="184"/>
      <c r="J659" s="184"/>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si="94"/>
        <v>0</v>
      </c>
      <c r="AB659" s="228" t="str">
        <f t="shared" si="95"/>
        <v/>
      </c>
    </row>
    <row r="660" spans="1:28" s="227" customFormat="1" ht="20.25">
      <c r="A660" s="181"/>
      <c r="B660" s="182"/>
      <c r="C660" s="186"/>
      <c r="D660" s="230"/>
      <c r="E660" s="182"/>
      <c r="F660" s="182"/>
      <c r="G660" s="182"/>
      <c r="H660" s="183"/>
      <c r="I660" s="184"/>
      <c r="J660" s="184"/>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si="94"/>
        <v>0</v>
      </c>
      <c r="AB660" s="228" t="str">
        <f t="shared" si="95"/>
        <v/>
      </c>
    </row>
    <row r="661" spans="1:28" s="227" customFormat="1" ht="20.25">
      <c r="A661" s="181"/>
      <c r="B661" s="182"/>
      <c r="C661" s="186"/>
      <c r="D661" s="230"/>
      <c r="E661" s="182"/>
      <c r="F661" s="182"/>
      <c r="G661" s="182"/>
      <c r="H661" s="183"/>
      <c r="I661" s="184"/>
      <c r="J661" s="184"/>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si="94"/>
        <v>0</v>
      </c>
      <c r="AB661" s="228" t="str">
        <f t="shared" si="95"/>
        <v/>
      </c>
    </row>
    <row r="662" spans="1:28" s="227" customFormat="1" ht="20.25">
      <c r="A662" s="181"/>
      <c r="B662" s="182"/>
      <c r="C662" s="186"/>
      <c r="D662" s="230"/>
      <c r="E662" s="182"/>
      <c r="F662" s="182"/>
      <c r="G662" s="182"/>
      <c r="H662" s="183"/>
      <c r="I662" s="184"/>
      <c r="J662" s="184"/>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si="94"/>
        <v>0</v>
      </c>
      <c r="AB662" s="228" t="str">
        <f t="shared" si="95"/>
        <v/>
      </c>
    </row>
    <row r="663" spans="1:28" s="227" customFormat="1" ht="20.25">
      <c r="A663" s="181"/>
      <c r="B663" s="182"/>
      <c r="C663" s="186"/>
      <c r="D663" s="230"/>
      <c r="E663" s="182"/>
      <c r="F663" s="182"/>
      <c r="G663" s="182"/>
      <c r="H663" s="183"/>
      <c r="I663" s="184"/>
      <c r="J663" s="184"/>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si="94"/>
        <v>0</v>
      </c>
      <c r="AB663" s="228" t="str">
        <f t="shared" si="95"/>
        <v/>
      </c>
    </row>
    <row r="664" spans="1:28" s="227" customFormat="1" ht="20.25">
      <c r="A664" s="181"/>
      <c r="B664" s="182"/>
      <c r="C664" s="186"/>
      <c r="D664" s="230"/>
      <c r="E664" s="182"/>
      <c r="F664" s="182"/>
      <c r="G664" s="182"/>
      <c r="H664" s="183"/>
      <c r="I664" s="184"/>
      <c r="J664" s="184"/>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si="94"/>
        <v>0</v>
      </c>
      <c r="AB664" s="228" t="str">
        <f t="shared" si="95"/>
        <v/>
      </c>
    </row>
    <row r="665" spans="1:28" s="227" customFormat="1" ht="20.25">
      <c r="A665" s="181"/>
      <c r="B665" s="182"/>
      <c r="C665" s="186"/>
      <c r="D665" s="230"/>
      <c r="E665" s="182"/>
      <c r="F665" s="182"/>
      <c r="G665" s="182"/>
      <c r="H665" s="183"/>
      <c r="I665" s="184"/>
      <c r="J665" s="184"/>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si="94"/>
        <v>0</v>
      </c>
      <c r="AB665" s="228" t="str">
        <f t="shared" si="95"/>
        <v/>
      </c>
    </row>
    <row r="666" spans="1:28" s="227" customFormat="1" ht="20.25">
      <c r="A666" s="181"/>
      <c r="B666" s="182"/>
      <c r="C666" s="186"/>
      <c r="D666" s="230"/>
      <c r="E666" s="182"/>
      <c r="F666" s="182"/>
      <c r="G666" s="182"/>
      <c r="H666" s="183"/>
      <c r="I666" s="184"/>
      <c r="J666" s="184"/>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si="94"/>
        <v>0</v>
      </c>
      <c r="AB666" s="228" t="str">
        <f t="shared" si="95"/>
        <v/>
      </c>
    </row>
    <row r="667" spans="1:28" s="227" customFormat="1" ht="20.25">
      <c r="A667" s="181"/>
      <c r="B667" s="182"/>
      <c r="C667" s="186"/>
      <c r="D667" s="230"/>
      <c r="E667" s="182"/>
      <c r="F667" s="182"/>
      <c r="G667" s="182"/>
      <c r="H667" s="183"/>
      <c r="I667" s="184"/>
      <c r="J667" s="184"/>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si="94"/>
        <v>0</v>
      </c>
      <c r="AB667" s="228" t="str">
        <f t="shared" si="95"/>
        <v/>
      </c>
    </row>
    <row r="668" spans="1:28" s="227" customFormat="1" ht="20.25">
      <c r="A668" s="181"/>
      <c r="B668" s="182"/>
      <c r="C668" s="186"/>
      <c r="D668" s="230"/>
      <c r="E668" s="182"/>
      <c r="F668" s="182"/>
      <c r="G668" s="182"/>
      <c r="H668" s="183"/>
      <c r="I668" s="184"/>
      <c r="J668" s="184"/>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si="97">IF(AND(C668="Smelter not listed",OR(LEN(D668)=0,LEN(E668)=0)),1,0)</f>
        <v>0</v>
      </c>
      <c r="AB668" s="228" t="str">
        <f t="shared" ref="AB668:AB698" si="98">B668&amp;C668</f>
        <v/>
      </c>
    </row>
    <row r="669" spans="1:28" s="227" customFormat="1" ht="20.25">
      <c r="A669" s="181"/>
      <c r="B669" s="182"/>
      <c r="C669" s="186"/>
      <c r="D669" s="230"/>
      <c r="E669" s="182"/>
      <c r="F669" s="182"/>
      <c r="G669" s="182"/>
      <c r="H669" s="183"/>
      <c r="I669" s="184"/>
      <c r="J669" s="184"/>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si="97"/>
        <v>0</v>
      </c>
      <c r="AB669" s="228" t="str">
        <f t="shared" si="98"/>
        <v/>
      </c>
    </row>
    <row r="670" spans="1:28" s="227" customFormat="1" ht="20.25">
      <c r="A670" s="181"/>
      <c r="B670" s="182"/>
      <c r="C670" s="186"/>
      <c r="D670" s="230"/>
      <c r="E670" s="182"/>
      <c r="F670" s="182"/>
      <c r="G670" s="182"/>
      <c r="H670" s="183"/>
      <c r="I670" s="184"/>
      <c r="J670" s="184"/>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si="97"/>
        <v>0</v>
      </c>
      <c r="AB670" s="228" t="str">
        <f t="shared" si="98"/>
        <v/>
      </c>
    </row>
    <row r="671" spans="1:28" s="227" customFormat="1" ht="20.25">
      <c r="A671" s="181"/>
      <c r="B671" s="182"/>
      <c r="C671" s="186"/>
      <c r="D671" s="230"/>
      <c r="E671" s="182"/>
      <c r="F671" s="182"/>
      <c r="G671" s="182"/>
      <c r="H671" s="183"/>
      <c r="I671" s="184"/>
      <c r="J671" s="184"/>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si="97"/>
        <v>0</v>
      </c>
      <c r="AB671" s="228" t="str">
        <f t="shared" si="98"/>
        <v/>
      </c>
    </row>
    <row r="672" spans="1:28" s="227" customFormat="1" ht="20.25">
      <c r="A672" s="181"/>
      <c r="B672" s="182"/>
      <c r="C672" s="186"/>
      <c r="D672" s="230"/>
      <c r="E672" s="182"/>
      <c r="F672" s="182"/>
      <c r="G672" s="182"/>
      <c r="H672" s="183"/>
      <c r="I672" s="184"/>
      <c r="J672" s="184"/>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si="97"/>
        <v>0</v>
      </c>
      <c r="AB672" s="228" t="str">
        <f t="shared" si="98"/>
        <v/>
      </c>
    </row>
    <row r="673" spans="1:28" s="227" customFormat="1" ht="20.25">
      <c r="A673" s="181"/>
      <c r="B673" s="182"/>
      <c r="C673" s="186"/>
      <c r="D673" s="230"/>
      <c r="E673" s="182"/>
      <c r="F673" s="182"/>
      <c r="G673" s="182"/>
      <c r="H673" s="183"/>
      <c r="I673" s="184"/>
      <c r="J673" s="184"/>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si="97"/>
        <v>0</v>
      </c>
      <c r="AB673" s="228" t="str">
        <f t="shared" si="98"/>
        <v/>
      </c>
    </row>
    <row r="674" spans="1:28" s="227" customFormat="1" ht="20.25">
      <c r="A674" s="181"/>
      <c r="B674" s="182"/>
      <c r="C674" s="186"/>
      <c r="D674" s="230"/>
      <c r="E674" s="182"/>
      <c r="F674" s="182"/>
      <c r="G674" s="182"/>
      <c r="H674" s="183"/>
      <c r="I674" s="184"/>
      <c r="J674" s="184"/>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si="97"/>
        <v>0</v>
      </c>
      <c r="AB674" s="228" t="str">
        <f t="shared" si="98"/>
        <v/>
      </c>
    </row>
    <row r="675" spans="1:28" s="227" customFormat="1" ht="20.25">
      <c r="A675" s="181"/>
      <c r="B675" s="182"/>
      <c r="C675" s="186"/>
      <c r="D675" s="230"/>
      <c r="E675" s="182"/>
      <c r="F675" s="182"/>
      <c r="G675" s="182"/>
      <c r="H675" s="183"/>
      <c r="I675" s="184"/>
      <c r="J675" s="184"/>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si="97"/>
        <v>0</v>
      </c>
      <c r="AB675" s="228" t="str">
        <f t="shared" si="98"/>
        <v/>
      </c>
    </row>
    <row r="676" spans="1:28" s="227" customFormat="1" ht="20.25">
      <c r="A676" s="181"/>
      <c r="B676" s="182"/>
      <c r="C676" s="186"/>
      <c r="D676" s="230"/>
      <c r="E676" s="182"/>
      <c r="F676" s="182"/>
      <c r="G676" s="182"/>
      <c r="H676" s="183"/>
      <c r="I676" s="184"/>
      <c r="J676" s="184"/>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si="97"/>
        <v>0</v>
      </c>
      <c r="AB676" s="228" t="str">
        <f t="shared" si="98"/>
        <v/>
      </c>
    </row>
    <row r="677" spans="1:28" s="227" customFormat="1" ht="20.25">
      <c r="A677" s="181"/>
      <c r="B677" s="182"/>
      <c r="C677" s="186"/>
      <c r="D677" s="230"/>
      <c r="E677" s="182"/>
      <c r="F677" s="182"/>
      <c r="G677" s="182"/>
      <c r="H677" s="183"/>
      <c r="I677" s="184"/>
      <c r="J677" s="184"/>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si="97"/>
        <v>0</v>
      </c>
      <c r="AB677" s="228" t="str">
        <f t="shared" si="98"/>
        <v/>
      </c>
    </row>
    <row r="678" spans="1:28" s="227" customFormat="1" ht="20.25">
      <c r="A678" s="181"/>
      <c r="B678" s="182"/>
      <c r="C678" s="186"/>
      <c r="D678" s="230"/>
      <c r="E678" s="182"/>
      <c r="F678" s="182"/>
      <c r="G678" s="182"/>
      <c r="H678" s="183"/>
      <c r="I678" s="184"/>
      <c r="J678" s="184"/>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si="97"/>
        <v>0</v>
      </c>
      <c r="AB678" s="228" t="str">
        <f t="shared" si="98"/>
        <v/>
      </c>
    </row>
    <row r="679" spans="1:28" s="227" customFormat="1" ht="20.25">
      <c r="A679" s="181"/>
      <c r="B679" s="182"/>
      <c r="C679" s="186"/>
      <c r="D679" s="230"/>
      <c r="E679" s="182"/>
      <c r="F679" s="182"/>
      <c r="G679" s="182"/>
      <c r="H679" s="183"/>
      <c r="I679" s="184"/>
      <c r="J679" s="184"/>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si="97"/>
        <v>0</v>
      </c>
      <c r="AB679" s="228" t="str">
        <f t="shared" si="98"/>
        <v/>
      </c>
    </row>
    <row r="680" spans="1:28" s="227" customFormat="1" ht="20.25">
      <c r="A680" s="181"/>
      <c r="B680" s="182"/>
      <c r="C680" s="186"/>
      <c r="D680" s="230"/>
      <c r="E680" s="182"/>
      <c r="F680" s="182"/>
      <c r="G680" s="182"/>
      <c r="H680" s="183"/>
      <c r="I680" s="184"/>
      <c r="J680" s="184"/>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si="97"/>
        <v>0</v>
      </c>
      <c r="AB680" s="228" t="str">
        <f t="shared" si="98"/>
        <v/>
      </c>
    </row>
    <row r="681" spans="1:28" s="227" customFormat="1" ht="20.25">
      <c r="A681" s="181"/>
      <c r="B681" s="182"/>
      <c r="C681" s="186"/>
      <c r="D681" s="230"/>
      <c r="E681" s="182"/>
      <c r="F681" s="182"/>
      <c r="G681" s="182"/>
      <c r="H681" s="183"/>
      <c r="I681" s="184"/>
      <c r="J681" s="184"/>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si="97"/>
        <v>0</v>
      </c>
      <c r="AB681" s="228" t="str">
        <f t="shared" si="98"/>
        <v/>
      </c>
    </row>
    <row r="682" spans="1:28" s="227" customFormat="1" ht="20.25">
      <c r="A682" s="181"/>
      <c r="B682" s="182"/>
      <c r="C682" s="186"/>
      <c r="D682" s="230"/>
      <c r="E682" s="182"/>
      <c r="F682" s="182"/>
      <c r="G682" s="182"/>
      <c r="H682" s="183"/>
      <c r="I682" s="184"/>
      <c r="J682" s="184"/>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si="97"/>
        <v>0</v>
      </c>
      <c r="AB682" s="228" t="str">
        <f t="shared" si="98"/>
        <v/>
      </c>
    </row>
    <row r="683" spans="1:28" s="227" customFormat="1" ht="20.25">
      <c r="A683" s="181"/>
      <c r="B683" s="182"/>
      <c r="C683" s="186"/>
      <c r="D683" s="230"/>
      <c r="E683" s="182"/>
      <c r="F683" s="182"/>
      <c r="G683" s="182"/>
      <c r="H683" s="183"/>
      <c r="I683" s="184"/>
      <c r="J683" s="184"/>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si="97"/>
        <v>0</v>
      </c>
      <c r="AB683" s="228" t="str">
        <f t="shared" si="98"/>
        <v/>
      </c>
    </row>
    <row r="684" spans="1:28" s="227" customFormat="1" ht="20.25">
      <c r="A684" s="181"/>
      <c r="B684" s="182"/>
      <c r="C684" s="186"/>
      <c r="D684" s="230"/>
      <c r="E684" s="182"/>
      <c r="F684" s="182"/>
      <c r="G684" s="182"/>
      <c r="H684" s="183"/>
      <c r="I684" s="184"/>
      <c r="J684" s="184"/>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si="97"/>
        <v>0</v>
      </c>
      <c r="AB684" s="228" t="str">
        <f t="shared" si="98"/>
        <v/>
      </c>
    </row>
    <row r="685" spans="1:28" s="227" customFormat="1" ht="20.25">
      <c r="A685" s="181"/>
      <c r="B685" s="182"/>
      <c r="C685" s="186"/>
      <c r="D685" s="230"/>
      <c r="E685" s="182"/>
      <c r="F685" s="182"/>
      <c r="G685" s="182"/>
      <c r="H685" s="183"/>
      <c r="I685" s="184"/>
      <c r="J685" s="184"/>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si="97"/>
        <v>0</v>
      </c>
      <c r="AB685" s="228" t="str">
        <f t="shared" si="98"/>
        <v/>
      </c>
    </row>
    <row r="686" spans="1:28" s="227" customFormat="1" ht="20.25">
      <c r="A686" s="181"/>
      <c r="B686" s="182"/>
      <c r="C686" s="186"/>
      <c r="D686" s="230"/>
      <c r="E686" s="182"/>
      <c r="F686" s="182"/>
      <c r="G686" s="182"/>
      <c r="H686" s="183"/>
      <c r="I686" s="184"/>
      <c r="J686" s="184"/>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si="97"/>
        <v>0</v>
      </c>
      <c r="AB686" s="228" t="str">
        <f t="shared" si="98"/>
        <v/>
      </c>
    </row>
    <row r="687" spans="1:28" s="227" customFormat="1" ht="20.25">
      <c r="A687" s="181"/>
      <c r="B687" s="182"/>
      <c r="C687" s="186"/>
      <c r="D687" s="230"/>
      <c r="E687" s="182"/>
      <c r="F687" s="182"/>
      <c r="G687" s="182"/>
      <c r="H687" s="183"/>
      <c r="I687" s="184"/>
      <c r="J687" s="184"/>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si="97"/>
        <v>0</v>
      </c>
      <c r="AB687" s="228" t="str">
        <f t="shared" si="98"/>
        <v/>
      </c>
    </row>
    <row r="688" spans="1:28" s="227" customFormat="1" ht="20.25">
      <c r="A688" s="181"/>
      <c r="B688" s="182"/>
      <c r="C688" s="186"/>
      <c r="D688" s="230"/>
      <c r="E688" s="182"/>
      <c r="F688" s="182"/>
      <c r="G688" s="182"/>
      <c r="H688" s="183"/>
      <c r="I688" s="184"/>
      <c r="J688" s="184"/>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si="97"/>
        <v>0</v>
      </c>
      <c r="AB688" s="228" t="str">
        <f t="shared" si="98"/>
        <v/>
      </c>
    </row>
    <row r="689" spans="1:28" s="227" customFormat="1" ht="20.25">
      <c r="A689" s="181"/>
      <c r="B689" s="182"/>
      <c r="C689" s="186"/>
      <c r="D689" s="230"/>
      <c r="E689" s="182"/>
      <c r="F689" s="182"/>
      <c r="G689" s="182"/>
      <c r="H689" s="183"/>
      <c r="I689" s="184"/>
      <c r="J689" s="184"/>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si="97"/>
        <v>0</v>
      </c>
      <c r="AB689" s="228" t="str">
        <f t="shared" si="98"/>
        <v/>
      </c>
    </row>
    <row r="690" spans="1:28" s="227" customFormat="1" ht="20.25">
      <c r="A690" s="181"/>
      <c r="B690" s="182"/>
      <c r="C690" s="186"/>
      <c r="D690" s="230"/>
      <c r="E690" s="182"/>
      <c r="F690" s="182"/>
      <c r="G690" s="182"/>
      <c r="H690" s="183"/>
      <c r="I690" s="184"/>
      <c r="J690" s="184"/>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si="97"/>
        <v>0</v>
      </c>
      <c r="AB690" s="228" t="str">
        <f t="shared" si="98"/>
        <v/>
      </c>
    </row>
    <row r="691" spans="1:28" s="227" customFormat="1" ht="20.25">
      <c r="A691" s="181"/>
      <c r="B691" s="182"/>
      <c r="C691" s="186"/>
      <c r="D691" s="230"/>
      <c r="E691" s="182"/>
      <c r="F691" s="182"/>
      <c r="G691" s="182"/>
      <c r="H691" s="183"/>
      <c r="I691" s="184"/>
      <c r="J691" s="184"/>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si="97"/>
        <v>0</v>
      </c>
      <c r="AB691" s="228" t="str">
        <f t="shared" si="98"/>
        <v/>
      </c>
    </row>
    <row r="692" spans="1:28" s="227" customFormat="1" ht="20.25">
      <c r="A692" s="181"/>
      <c r="B692" s="182"/>
      <c r="C692" s="186"/>
      <c r="D692" s="230"/>
      <c r="E692" s="182"/>
      <c r="F692" s="182"/>
      <c r="G692" s="182"/>
      <c r="H692" s="183"/>
      <c r="I692" s="184"/>
      <c r="J692" s="184"/>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si="97"/>
        <v>0</v>
      </c>
      <c r="AB692" s="228" t="str">
        <f t="shared" si="98"/>
        <v/>
      </c>
    </row>
    <row r="693" spans="1:28" s="227" customFormat="1" ht="20.25">
      <c r="A693" s="181"/>
      <c r="B693" s="182"/>
      <c r="C693" s="186"/>
      <c r="D693" s="230"/>
      <c r="E693" s="182"/>
      <c r="F693" s="182"/>
      <c r="G693" s="182"/>
      <c r="H693" s="183"/>
      <c r="I693" s="184"/>
      <c r="J693" s="184"/>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si="97"/>
        <v>0</v>
      </c>
      <c r="AB693" s="228" t="str">
        <f t="shared" si="98"/>
        <v/>
      </c>
    </row>
    <row r="694" spans="1:28" s="227" customFormat="1" ht="20.25">
      <c r="A694" s="181"/>
      <c r="B694" s="182"/>
      <c r="C694" s="186"/>
      <c r="D694" s="230"/>
      <c r="E694" s="182"/>
      <c r="F694" s="182"/>
      <c r="G694" s="182"/>
      <c r="H694" s="183"/>
      <c r="I694" s="184"/>
      <c r="J694" s="184"/>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si="97"/>
        <v>0</v>
      </c>
      <c r="AB694" s="228" t="str">
        <f t="shared" si="98"/>
        <v/>
      </c>
    </row>
    <row r="695" spans="1:28" s="227" customFormat="1" ht="20.25">
      <c r="A695" s="181"/>
      <c r="B695" s="182"/>
      <c r="C695" s="186"/>
      <c r="D695" s="230"/>
      <c r="E695" s="182"/>
      <c r="F695" s="182"/>
      <c r="G695" s="182"/>
      <c r="H695" s="183"/>
      <c r="I695" s="184"/>
      <c r="J695" s="184"/>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si="97"/>
        <v>0</v>
      </c>
      <c r="AB695" s="228" t="str">
        <f t="shared" si="98"/>
        <v/>
      </c>
    </row>
    <row r="696" spans="1:28" s="227" customFormat="1" ht="20.25">
      <c r="A696" s="181"/>
      <c r="B696" s="182"/>
      <c r="C696" s="186"/>
      <c r="D696" s="230"/>
      <c r="E696" s="182"/>
      <c r="F696" s="182"/>
      <c r="G696" s="182"/>
      <c r="H696" s="183"/>
      <c r="I696" s="184"/>
      <c r="J696" s="184"/>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si="97"/>
        <v>0</v>
      </c>
      <c r="AB696" s="228" t="str">
        <f t="shared" si="98"/>
        <v/>
      </c>
    </row>
    <row r="697" spans="1:28" s="227" customFormat="1" ht="20.25">
      <c r="A697" s="181"/>
      <c r="B697" s="182"/>
      <c r="C697" s="186"/>
      <c r="D697" s="230"/>
      <c r="E697" s="182"/>
      <c r="F697" s="182"/>
      <c r="G697" s="182"/>
      <c r="H697" s="183"/>
      <c r="I697" s="184"/>
      <c r="J697" s="184"/>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si="97"/>
        <v>0</v>
      </c>
      <c r="AB697" s="228" t="str">
        <f t="shared" si="98"/>
        <v/>
      </c>
    </row>
    <row r="698" spans="1:28" s="227" customFormat="1" ht="20.25">
      <c r="A698" s="181"/>
      <c r="B698" s="182"/>
      <c r="C698" s="186"/>
      <c r="D698" s="230"/>
      <c r="E698" s="182"/>
      <c r="F698" s="182"/>
      <c r="G698" s="182"/>
      <c r="H698" s="183"/>
      <c r="I698" s="184"/>
      <c r="J698" s="184"/>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si="97"/>
        <v>0</v>
      </c>
      <c r="AB698" s="228" t="str">
        <f t="shared" si="98"/>
        <v/>
      </c>
    </row>
    <row r="699" spans="1:28" s="227" customFormat="1" ht="20.25">
      <c r="A699" s="181"/>
      <c r="B699" s="182"/>
      <c r="C699" s="186"/>
      <c r="D699" s="230"/>
      <c r="E699" s="182"/>
      <c r="F699" s="182"/>
      <c r="G699" s="182"/>
      <c r="H699" s="183"/>
      <c r="I699" s="184"/>
      <c r="J699" s="184"/>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si="100">IF(AND(C699="Smelter not listed",OR(LEN(D699)=0,LEN(E699)=0)),1,0)</f>
        <v>0</v>
      </c>
      <c r="AB699" s="228" t="str">
        <f t="shared" ref="AB699" si="101">B699&amp;C699</f>
        <v/>
      </c>
    </row>
    <row r="700" spans="1:28" s="227" customFormat="1" ht="20.25">
      <c r="A700" s="181"/>
      <c r="B700" s="182"/>
      <c r="C700" s="186"/>
      <c r="D700" s="230"/>
      <c r="E700" s="182"/>
      <c r="F700" s="182"/>
      <c r="G700" s="182"/>
      <c r="H700" s="183"/>
      <c r="I700" s="184"/>
      <c r="J700" s="184"/>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si="103">IF(AND(C700="Smelter not listed",OR(LEN(D700)=0,LEN(E700)=0)),1,0)</f>
        <v>0</v>
      </c>
      <c r="AB700" s="228" t="str">
        <f t="shared" ref="AB700:AB731" si="104">B700&amp;C700</f>
        <v/>
      </c>
    </row>
    <row r="701" spans="1:28" s="227" customFormat="1" ht="20.25">
      <c r="A701" s="181"/>
      <c r="B701" s="182"/>
      <c r="C701" s="186"/>
      <c r="D701" s="230"/>
      <c r="E701" s="182"/>
      <c r="F701" s="182"/>
      <c r="G701" s="182"/>
      <c r="H701" s="183"/>
      <c r="I701" s="184"/>
      <c r="J701" s="184"/>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si="103"/>
        <v>0</v>
      </c>
      <c r="AB701" s="228" t="str">
        <f t="shared" si="104"/>
        <v/>
      </c>
    </row>
    <row r="702" spans="1:28" s="227" customFormat="1" ht="20.25">
      <c r="A702" s="181"/>
      <c r="B702" s="182"/>
      <c r="C702" s="186"/>
      <c r="D702" s="230"/>
      <c r="E702" s="182"/>
      <c r="F702" s="182"/>
      <c r="G702" s="182"/>
      <c r="H702" s="183"/>
      <c r="I702" s="184"/>
      <c r="J702" s="184"/>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si="103"/>
        <v>0</v>
      </c>
      <c r="AB702" s="228" t="str">
        <f t="shared" si="104"/>
        <v/>
      </c>
    </row>
    <row r="703" spans="1:28" s="227" customFormat="1" ht="20.25">
      <c r="A703" s="181"/>
      <c r="B703" s="182"/>
      <c r="C703" s="186"/>
      <c r="D703" s="230"/>
      <c r="E703" s="182"/>
      <c r="F703" s="182"/>
      <c r="G703" s="182"/>
      <c r="H703" s="183"/>
      <c r="I703" s="184"/>
      <c r="J703" s="184"/>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si="103"/>
        <v>0</v>
      </c>
      <c r="AB703" s="228" t="str">
        <f t="shared" si="104"/>
        <v/>
      </c>
    </row>
    <row r="704" spans="1:28" s="227" customFormat="1" ht="20.25">
      <c r="A704" s="181"/>
      <c r="B704" s="182"/>
      <c r="C704" s="186"/>
      <c r="D704" s="230"/>
      <c r="E704" s="182"/>
      <c r="F704" s="182"/>
      <c r="G704" s="182"/>
      <c r="H704" s="183"/>
      <c r="I704" s="184"/>
      <c r="J704" s="184"/>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si="103"/>
        <v>0</v>
      </c>
      <c r="AB704" s="228" t="str">
        <f t="shared" si="104"/>
        <v/>
      </c>
    </row>
    <row r="705" spans="1:28" s="227" customFormat="1" ht="20.25">
      <c r="A705" s="181"/>
      <c r="B705" s="182"/>
      <c r="C705" s="186"/>
      <c r="D705" s="230"/>
      <c r="E705" s="182"/>
      <c r="F705" s="182"/>
      <c r="G705" s="182"/>
      <c r="H705" s="183"/>
      <c r="I705" s="184"/>
      <c r="J705" s="184"/>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si="103"/>
        <v>0</v>
      </c>
      <c r="AB705" s="228" t="str">
        <f t="shared" si="104"/>
        <v/>
      </c>
    </row>
    <row r="706" spans="1:28" s="227" customFormat="1" ht="20.25">
      <c r="A706" s="181"/>
      <c r="B706" s="182"/>
      <c r="C706" s="186"/>
      <c r="D706" s="230"/>
      <c r="E706" s="182"/>
      <c r="F706" s="182"/>
      <c r="G706" s="182"/>
      <c r="H706" s="183"/>
      <c r="I706" s="184"/>
      <c r="J706" s="184"/>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si="103"/>
        <v>0</v>
      </c>
      <c r="AB706" s="228" t="str">
        <f t="shared" si="104"/>
        <v/>
      </c>
    </row>
    <row r="707" spans="1:28" s="227" customFormat="1" ht="20.25">
      <c r="A707" s="181"/>
      <c r="B707" s="182"/>
      <c r="C707" s="186"/>
      <c r="D707" s="230"/>
      <c r="E707" s="182"/>
      <c r="F707" s="182"/>
      <c r="G707" s="182"/>
      <c r="H707" s="183"/>
      <c r="I707" s="184"/>
      <c r="J707" s="184"/>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si="103"/>
        <v>0</v>
      </c>
      <c r="AB707" s="228" t="str">
        <f t="shared" si="104"/>
        <v/>
      </c>
    </row>
    <row r="708" spans="1:28" s="227" customFormat="1" ht="20.25">
      <c r="A708" s="181"/>
      <c r="B708" s="182"/>
      <c r="C708" s="186"/>
      <c r="D708" s="230"/>
      <c r="E708" s="182"/>
      <c r="F708" s="182"/>
      <c r="G708" s="182"/>
      <c r="H708" s="183"/>
      <c r="I708" s="184"/>
      <c r="J708" s="184"/>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si="103"/>
        <v>0</v>
      </c>
      <c r="AB708" s="228" t="str">
        <f t="shared" si="104"/>
        <v/>
      </c>
    </row>
    <row r="709" spans="1:28" s="227" customFormat="1" ht="20.25">
      <c r="A709" s="181"/>
      <c r="B709" s="182"/>
      <c r="C709" s="186"/>
      <c r="D709" s="230"/>
      <c r="E709" s="182"/>
      <c r="F709" s="182"/>
      <c r="G709" s="182"/>
      <c r="H709" s="183"/>
      <c r="I709" s="184"/>
      <c r="J709" s="184"/>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si="103"/>
        <v>0</v>
      </c>
      <c r="AB709" s="228" t="str">
        <f t="shared" si="104"/>
        <v/>
      </c>
    </row>
    <row r="710" spans="1:28" s="227" customFormat="1" ht="20.25">
      <c r="A710" s="181"/>
      <c r="B710" s="182"/>
      <c r="C710" s="186"/>
      <c r="D710" s="230"/>
      <c r="E710" s="182"/>
      <c r="F710" s="182"/>
      <c r="G710" s="182"/>
      <c r="H710" s="183"/>
      <c r="I710" s="184"/>
      <c r="J710" s="184"/>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si="103"/>
        <v>0</v>
      </c>
      <c r="AB710" s="228" t="str">
        <f t="shared" si="104"/>
        <v/>
      </c>
    </row>
    <row r="711" spans="1:28" s="227" customFormat="1" ht="20.25">
      <c r="A711" s="181"/>
      <c r="B711" s="182"/>
      <c r="C711" s="186"/>
      <c r="D711" s="230"/>
      <c r="E711" s="182"/>
      <c r="F711" s="182"/>
      <c r="G711" s="182"/>
      <c r="H711" s="183"/>
      <c r="I711" s="184"/>
      <c r="J711" s="184"/>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si="103"/>
        <v>0</v>
      </c>
      <c r="AB711" s="228" t="str">
        <f t="shared" si="104"/>
        <v/>
      </c>
    </row>
    <row r="712" spans="1:28" s="227" customFormat="1" ht="20.25">
      <c r="A712" s="181"/>
      <c r="B712" s="182"/>
      <c r="C712" s="186"/>
      <c r="D712" s="230"/>
      <c r="E712" s="182"/>
      <c r="F712" s="182"/>
      <c r="G712" s="182"/>
      <c r="H712" s="183"/>
      <c r="I712" s="184"/>
      <c r="J712" s="184"/>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si="103"/>
        <v>0</v>
      </c>
      <c r="AB712" s="228" t="str">
        <f t="shared" si="104"/>
        <v/>
      </c>
    </row>
    <row r="713" spans="1:28" s="227" customFormat="1" ht="20.25">
      <c r="A713" s="181"/>
      <c r="B713" s="182"/>
      <c r="C713" s="186"/>
      <c r="D713" s="230"/>
      <c r="E713" s="182"/>
      <c r="F713" s="182"/>
      <c r="G713" s="182"/>
      <c r="H713" s="183"/>
      <c r="I713" s="184"/>
      <c r="J713" s="184"/>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si="103"/>
        <v>0</v>
      </c>
      <c r="AB713" s="228" t="str">
        <f t="shared" si="104"/>
        <v/>
      </c>
    </row>
    <row r="714" spans="1:28" s="227" customFormat="1" ht="20.25">
      <c r="A714" s="181"/>
      <c r="B714" s="182"/>
      <c r="C714" s="186"/>
      <c r="D714" s="230"/>
      <c r="E714" s="182"/>
      <c r="F714" s="182"/>
      <c r="G714" s="182"/>
      <c r="H714" s="183"/>
      <c r="I714" s="184"/>
      <c r="J714" s="184"/>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si="103"/>
        <v>0</v>
      </c>
      <c r="AB714" s="228" t="str">
        <f t="shared" si="104"/>
        <v/>
      </c>
    </row>
    <row r="715" spans="1:28" s="227" customFormat="1" ht="20.25">
      <c r="A715" s="181"/>
      <c r="B715" s="182"/>
      <c r="C715" s="186"/>
      <c r="D715" s="230"/>
      <c r="E715" s="182"/>
      <c r="F715" s="182"/>
      <c r="G715" s="182"/>
      <c r="H715" s="183"/>
      <c r="I715" s="184"/>
      <c r="J715" s="184"/>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si="103"/>
        <v>0</v>
      </c>
      <c r="AB715" s="228" t="str">
        <f t="shared" si="104"/>
        <v/>
      </c>
    </row>
    <row r="716" spans="1:28" s="227" customFormat="1" ht="20.25">
      <c r="A716" s="181"/>
      <c r="B716" s="182"/>
      <c r="C716" s="186"/>
      <c r="D716" s="230"/>
      <c r="E716" s="182"/>
      <c r="F716" s="182"/>
      <c r="G716" s="182"/>
      <c r="H716" s="183"/>
      <c r="I716" s="184"/>
      <c r="J716" s="184"/>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si="103"/>
        <v>0</v>
      </c>
      <c r="AB716" s="228" t="str">
        <f t="shared" si="104"/>
        <v/>
      </c>
    </row>
    <row r="717" spans="1:28" s="227" customFormat="1" ht="20.25">
      <c r="A717" s="181"/>
      <c r="B717" s="182"/>
      <c r="C717" s="186"/>
      <c r="D717" s="230"/>
      <c r="E717" s="182"/>
      <c r="F717" s="182"/>
      <c r="G717" s="182"/>
      <c r="H717" s="183"/>
      <c r="I717" s="184"/>
      <c r="J717" s="184"/>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si="103"/>
        <v>0</v>
      </c>
      <c r="AB717" s="228" t="str">
        <f t="shared" si="104"/>
        <v/>
      </c>
    </row>
    <row r="718" spans="1:28" s="227" customFormat="1" ht="20.25">
      <c r="A718" s="181"/>
      <c r="B718" s="182"/>
      <c r="C718" s="186"/>
      <c r="D718" s="230"/>
      <c r="E718" s="182"/>
      <c r="F718" s="182"/>
      <c r="G718" s="182"/>
      <c r="H718" s="183"/>
      <c r="I718" s="184"/>
      <c r="J718" s="184"/>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si="103"/>
        <v>0</v>
      </c>
      <c r="AB718" s="228" t="str">
        <f t="shared" si="104"/>
        <v/>
      </c>
    </row>
    <row r="719" spans="1:28" s="227" customFormat="1" ht="20.25">
      <c r="A719" s="181"/>
      <c r="B719" s="182"/>
      <c r="C719" s="186"/>
      <c r="D719" s="230"/>
      <c r="E719" s="182"/>
      <c r="F719" s="182"/>
      <c r="G719" s="182"/>
      <c r="H719" s="183"/>
      <c r="I719" s="184"/>
      <c r="J719" s="184"/>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si="103"/>
        <v>0</v>
      </c>
      <c r="AB719" s="228" t="str">
        <f t="shared" si="104"/>
        <v/>
      </c>
    </row>
    <row r="720" spans="1:28" s="227" customFormat="1" ht="20.25">
      <c r="A720" s="181"/>
      <c r="B720" s="182"/>
      <c r="C720" s="186"/>
      <c r="D720" s="230"/>
      <c r="E720" s="182"/>
      <c r="F720" s="182"/>
      <c r="G720" s="182"/>
      <c r="H720" s="183"/>
      <c r="I720" s="184"/>
      <c r="J720" s="184"/>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si="103"/>
        <v>0</v>
      </c>
      <c r="AB720" s="228" t="str">
        <f t="shared" si="104"/>
        <v/>
      </c>
    </row>
    <row r="721" spans="1:28" s="227" customFormat="1" ht="20.25">
      <c r="A721" s="181"/>
      <c r="B721" s="182"/>
      <c r="C721" s="186"/>
      <c r="D721" s="230"/>
      <c r="E721" s="182"/>
      <c r="F721" s="182"/>
      <c r="G721" s="182"/>
      <c r="H721" s="183"/>
      <c r="I721" s="184"/>
      <c r="J721" s="184"/>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si="103"/>
        <v>0</v>
      </c>
      <c r="AB721" s="228" t="str">
        <f t="shared" si="104"/>
        <v/>
      </c>
    </row>
    <row r="722" spans="1:28" s="227" customFormat="1" ht="20.25">
      <c r="A722" s="181"/>
      <c r="B722" s="182"/>
      <c r="C722" s="186"/>
      <c r="D722" s="230"/>
      <c r="E722" s="182"/>
      <c r="F722" s="182"/>
      <c r="G722" s="182"/>
      <c r="H722" s="183"/>
      <c r="I722" s="184"/>
      <c r="J722" s="184"/>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si="103"/>
        <v>0</v>
      </c>
      <c r="AB722" s="228" t="str">
        <f t="shared" si="104"/>
        <v/>
      </c>
    </row>
    <row r="723" spans="1:28" s="227" customFormat="1" ht="20.25">
      <c r="A723" s="181"/>
      <c r="B723" s="182"/>
      <c r="C723" s="186"/>
      <c r="D723" s="230"/>
      <c r="E723" s="182"/>
      <c r="F723" s="182"/>
      <c r="G723" s="182"/>
      <c r="H723" s="183"/>
      <c r="I723" s="184"/>
      <c r="J723" s="184"/>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si="103"/>
        <v>0</v>
      </c>
      <c r="AB723" s="228" t="str">
        <f t="shared" si="104"/>
        <v/>
      </c>
    </row>
    <row r="724" spans="1:28" s="227" customFormat="1" ht="20.25">
      <c r="A724" s="181"/>
      <c r="B724" s="182"/>
      <c r="C724" s="186"/>
      <c r="D724" s="230"/>
      <c r="E724" s="182"/>
      <c r="F724" s="182"/>
      <c r="G724" s="182"/>
      <c r="H724" s="183"/>
      <c r="I724" s="184"/>
      <c r="J724" s="184"/>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si="103"/>
        <v>0</v>
      </c>
      <c r="AB724" s="228" t="str">
        <f t="shared" si="104"/>
        <v/>
      </c>
    </row>
    <row r="725" spans="1:28" s="227" customFormat="1" ht="20.25">
      <c r="A725" s="181"/>
      <c r="B725" s="182"/>
      <c r="C725" s="186"/>
      <c r="D725" s="230"/>
      <c r="E725" s="182"/>
      <c r="F725" s="182"/>
      <c r="G725" s="182"/>
      <c r="H725" s="183"/>
      <c r="I725" s="184"/>
      <c r="J725" s="184"/>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si="103"/>
        <v>0</v>
      </c>
      <c r="AB725" s="228" t="str">
        <f t="shared" si="104"/>
        <v/>
      </c>
    </row>
    <row r="726" spans="1:28" s="227" customFormat="1" ht="20.25">
      <c r="A726" s="181"/>
      <c r="B726" s="182"/>
      <c r="C726" s="186"/>
      <c r="D726" s="230"/>
      <c r="E726" s="182"/>
      <c r="F726" s="182"/>
      <c r="G726" s="182"/>
      <c r="H726" s="183"/>
      <c r="I726" s="184"/>
      <c r="J726" s="184"/>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si="103"/>
        <v>0</v>
      </c>
      <c r="AB726" s="228" t="str">
        <f t="shared" si="104"/>
        <v/>
      </c>
    </row>
    <row r="727" spans="1:28" s="227" customFormat="1" ht="20.25">
      <c r="A727" s="181"/>
      <c r="B727" s="182"/>
      <c r="C727" s="186"/>
      <c r="D727" s="230"/>
      <c r="E727" s="182"/>
      <c r="F727" s="182"/>
      <c r="G727" s="182"/>
      <c r="H727" s="183"/>
      <c r="I727" s="184"/>
      <c r="J727" s="184"/>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si="103"/>
        <v>0</v>
      </c>
      <c r="AB727" s="228" t="str">
        <f t="shared" si="104"/>
        <v/>
      </c>
    </row>
    <row r="728" spans="1:28" s="227" customFormat="1" ht="20.25">
      <c r="A728" s="181"/>
      <c r="B728" s="182"/>
      <c r="C728" s="186"/>
      <c r="D728" s="230"/>
      <c r="E728" s="182"/>
      <c r="F728" s="182"/>
      <c r="G728" s="182"/>
      <c r="H728" s="183"/>
      <c r="I728" s="184"/>
      <c r="J728" s="184"/>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si="103"/>
        <v>0</v>
      </c>
      <c r="AB728" s="228" t="str">
        <f t="shared" si="104"/>
        <v/>
      </c>
    </row>
    <row r="729" spans="1:28" s="227" customFormat="1" ht="20.25">
      <c r="A729" s="181"/>
      <c r="B729" s="182"/>
      <c r="C729" s="186"/>
      <c r="D729" s="230"/>
      <c r="E729" s="182"/>
      <c r="F729" s="182"/>
      <c r="G729" s="182"/>
      <c r="H729" s="183"/>
      <c r="I729" s="184"/>
      <c r="J729" s="184"/>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si="103"/>
        <v>0</v>
      </c>
      <c r="AB729" s="228" t="str">
        <f t="shared" si="104"/>
        <v/>
      </c>
    </row>
    <row r="730" spans="1:28" s="227" customFormat="1" ht="20.25">
      <c r="A730" s="181"/>
      <c r="B730" s="182"/>
      <c r="C730" s="186"/>
      <c r="D730" s="230"/>
      <c r="E730" s="182"/>
      <c r="F730" s="182"/>
      <c r="G730" s="182"/>
      <c r="H730" s="183"/>
      <c r="I730" s="184"/>
      <c r="J730" s="184"/>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si="103"/>
        <v>0</v>
      </c>
      <c r="AB730" s="228" t="str">
        <f t="shared" si="104"/>
        <v/>
      </c>
    </row>
    <row r="731" spans="1:28" s="227" customFormat="1" ht="20.25">
      <c r="A731" s="181"/>
      <c r="B731" s="182"/>
      <c r="C731" s="186"/>
      <c r="D731" s="230"/>
      <c r="E731" s="182"/>
      <c r="F731" s="182"/>
      <c r="G731" s="182"/>
      <c r="H731" s="183"/>
      <c r="I731" s="184"/>
      <c r="J731" s="184"/>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si="103"/>
        <v>0</v>
      </c>
      <c r="AB731" s="228" t="str">
        <f t="shared" si="104"/>
        <v/>
      </c>
    </row>
    <row r="732" spans="1:28" s="227" customFormat="1" ht="20.25">
      <c r="A732" s="181"/>
      <c r="B732" s="182"/>
      <c r="C732" s="186"/>
      <c r="D732" s="230"/>
      <c r="E732" s="182"/>
      <c r="F732" s="182"/>
      <c r="G732" s="182"/>
      <c r="H732" s="183"/>
      <c r="I732" s="184"/>
      <c r="J732" s="184"/>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si="106">IF(AND(C732="Smelter not listed",OR(LEN(D732)=0,LEN(E732)=0)),1,0)</f>
        <v>0</v>
      </c>
      <c r="AB732" s="228" t="str">
        <f t="shared" ref="AB732:AB762" si="107">B732&amp;C732</f>
        <v/>
      </c>
    </row>
    <row r="733" spans="1:28" s="227" customFormat="1" ht="20.25">
      <c r="A733" s="181"/>
      <c r="B733" s="182"/>
      <c r="C733" s="186"/>
      <c r="D733" s="230"/>
      <c r="E733" s="182"/>
      <c r="F733" s="182"/>
      <c r="G733" s="182"/>
      <c r="H733" s="183"/>
      <c r="I733" s="184"/>
      <c r="J733" s="184"/>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si="106"/>
        <v>0</v>
      </c>
      <c r="AB733" s="228" t="str">
        <f t="shared" si="107"/>
        <v/>
      </c>
    </row>
    <row r="734" spans="1:28" s="227" customFormat="1" ht="20.25">
      <c r="A734" s="181"/>
      <c r="B734" s="182"/>
      <c r="C734" s="186"/>
      <c r="D734" s="230"/>
      <c r="E734" s="182"/>
      <c r="F734" s="182"/>
      <c r="G734" s="182"/>
      <c r="H734" s="183"/>
      <c r="I734" s="184"/>
      <c r="J734" s="184"/>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si="106"/>
        <v>0</v>
      </c>
      <c r="AB734" s="228" t="str">
        <f t="shared" si="107"/>
        <v/>
      </c>
    </row>
    <row r="735" spans="1:28" s="227" customFormat="1" ht="20.25">
      <c r="A735" s="181"/>
      <c r="B735" s="182"/>
      <c r="C735" s="186"/>
      <c r="D735" s="230"/>
      <c r="E735" s="182"/>
      <c r="F735" s="182"/>
      <c r="G735" s="182"/>
      <c r="H735" s="183"/>
      <c r="I735" s="184"/>
      <c r="J735" s="184"/>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si="106"/>
        <v>0</v>
      </c>
      <c r="AB735" s="228" t="str">
        <f t="shared" si="107"/>
        <v/>
      </c>
    </row>
    <row r="736" spans="1:28" s="227" customFormat="1" ht="20.25">
      <c r="A736" s="181"/>
      <c r="B736" s="182"/>
      <c r="C736" s="186"/>
      <c r="D736" s="230"/>
      <c r="E736" s="182"/>
      <c r="F736" s="182"/>
      <c r="G736" s="182"/>
      <c r="H736" s="183"/>
      <c r="I736" s="184"/>
      <c r="J736" s="184"/>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si="106"/>
        <v>0</v>
      </c>
      <c r="AB736" s="228" t="str">
        <f t="shared" si="107"/>
        <v/>
      </c>
    </row>
    <row r="737" spans="1:28" s="227" customFormat="1" ht="20.25">
      <c r="A737" s="181"/>
      <c r="B737" s="182"/>
      <c r="C737" s="186"/>
      <c r="D737" s="230"/>
      <c r="E737" s="182"/>
      <c r="F737" s="182"/>
      <c r="G737" s="182"/>
      <c r="H737" s="183"/>
      <c r="I737" s="184"/>
      <c r="J737" s="184"/>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si="106"/>
        <v>0</v>
      </c>
      <c r="AB737" s="228" t="str">
        <f t="shared" si="107"/>
        <v/>
      </c>
    </row>
    <row r="738" spans="1:28" s="227" customFormat="1" ht="20.25">
      <c r="A738" s="181"/>
      <c r="B738" s="182"/>
      <c r="C738" s="186"/>
      <c r="D738" s="230"/>
      <c r="E738" s="182"/>
      <c r="F738" s="182"/>
      <c r="G738" s="182"/>
      <c r="H738" s="183"/>
      <c r="I738" s="184"/>
      <c r="J738" s="184"/>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si="106"/>
        <v>0</v>
      </c>
      <c r="AB738" s="228" t="str">
        <f t="shared" si="107"/>
        <v/>
      </c>
    </row>
    <row r="739" spans="1:28" s="227" customFormat="1" ht="20.25">
      <c r="A739" s="181"/>
      <c r="B739" s="182"/>
      <c r="C739" s="186"/>
      <c r="D739" s="230"/>
      <c r="E739" s="182"/>
      <c r="F739" s="182"/>
      <c r="G739" s="182"/>
      <c r="H739" s="183"/>
      <c r="I739" s="184"/>
      <c r="J739" s="184"/>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si="106"/>
        <v>0</v>
      </c>
      <c r="AB739" s="228" t="str">
        <f t="shared" si="107"/>
        <v/>
      </c>
    </row>
    <row r="740" spans="1:28" s="227" customFormat="1" ht="20.25">
      <c r="A740" s="181"/>
      <c r="B740" s="182"/>
      <c r="C740" s="186"/>
      <c r="D740" s="230"/>
      <c r="E740" s="182"/>
      <c r="F740" s="182"/>
      <c r="G740" s="182"/>
      <c r="H740" s="183"/>
      <c r="I740" s="184"/>
      <c r="J740" s="184"/>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si="106"/>
        <v>0</v>
      </c>
      <c r="AB740" s="228" t="str">
        <f t="shared" si="107"/>
        <v/>
      </c>
    </row>
    <row r="741" spans="1:28" s="227" customFormat="1" ht="20.25">
      <c r="A741" s="181"/>
      <c r="B741" s="182"/>
      <c r="C741" s="186"/>
      <c r="D741" s="230"/>
      <c r="E741" s="182"/>
      <c r="F741" s="182"/>
      <c r="G741" s="182"/>
      <c r="H741" s="183"/>
      <c r="I741" s="184"/>
      <c r="J741" s="184"/>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si="106"/>
        <v>0</v>
      </c>
      <c r="AB741" s="228" t="str">
        <f t="shared" si="107"/>
        <v/>
      </c>
    </row>
    <row r="742" spans="1:28" s="227" customFormat="1" ht="20.25">
      <c r="A742" s="181"/>
      <c r="B742" s="182"/>
      <c r="C742" s="186"/>
      <c r="D742" s="230"/>
      <c r="E742" s="182"/>
      <c r="F742" s="182"/>
      <c r="G742" s="182"/>
      <c r="H742" s="183"/>
      <c r="I742" s="184"/>
      <c r="J742" s="184"/>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si="106"/>
        <v>0</v>
      </c>
      <c r="AB742" s="228" t="str">
        <f t="shared" si="107"/>
        <v/>
      </c>
    </row>
    <row r="743" spans="1:28" s="227" customFormat="1" ht="20.25">
      <c r="A743" s="181"/>
      <c r="B743" s="182"/>
      <c r="C743" s="186"/>
      <c r="D743" s="230"/>
      <c r="E743" s="182"/>
      <c r="F743" s="182"/>
      <c r="G743" s="182"/>
      <c r="H743" s="183"/>
      <c r="I743" s="184"/>
      <c r="J743" s="184"/>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si="106"/>
        <v>0</v>
      </c>
      <c r="AB743" s="228" t="str">
        <f t="shared" si="107"/>
        <v/>
      </c>
    </row>
    <row r="744" spans="1:28" s="227" customFormat="1" ht="20.25">
      <c r="A744" s="181"/>
      <c r="B744" s="182"/>
      <c r="C744" s="186"/>
      <c r="D744" s="230"/>
      <c r="E744" s="182"/>
      <c r="F744" s="182"/>
      <c r="G744" s="182"/>
      <c r="H744" s="183"/>
      <c r="I744" s="184"/>
      <c r="J744" s="184"/>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si="106"/>
        <v>0</v>
      </c>
      <c r="AB744" s="228" t="str">
        <f t="shared" si="107"/>
        <v/>
      </c>
    </row>
    <row r="745" spans="1:28" s="227" customFormat="1" ht="20.25">
      <c r="A745" s="181"/>
      <c r="B745" s="182"/>
      <c r="C745" s="186"/>
      <c r="D745" s="230"/>
      <c r="E745" s="182"/>
      <c r="F745" s="182"/>
      <c r="G745" s="182"/>
      <c r="H745" s="183"/>
      <c r="I745" s="184"/>
      <c r="J745" s="184"/>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si="106"/>
        <v>0</v>
      </c>
      <c r="AB745" s="228" t="str">
        <f t="shared" si="107"/>
        <v/>
      </c>
    </row>
    <row r="746" spans="1:28" s="227" customFormat="1" ht="20.25">
      <c r="A746" s="181"/>
      <c r="B746" s="182"/>
      <c r="C746" s="186"/>
      <c r="D746" s="230"/>
      <c r="E746" s="182"/>
      <c r="F746" s="182"/>
      <c r="G746" s="182"/>
      <c r="H746" s="183"/>
      <c r="I746" s="184"/>
      <c r="J746" s="184"/>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si="106"/>
        <v>0</v>
      </c>
      <c r="AB746" s="228" t="str">
        <f t="shared" si="107"/>
        <v/>
      </c>
    </row>
    <row r="747" spans="1:28" s="227" customFormat="1" ht="20.25">
      <c r="A747" s="181"/>
      <c r="B747" s="182"/>
      <c r="C747" s="186"/>
      <c r="D747" s="230"/>
      <c r="E747" s="182"/>
      <c r="F747" s="182"/>
      <c r="G747" s="182"/>
      <c r="H747" s="183"/>
      <c r="I747" s="184"/>
      <c r="J747" s="184"/>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si="106"/>
        <v>0</v>
      </c>
      <c r="AB747" s="228" t="str">
        <f t="shared" si="107"/>
        <v/>
      </c>
    </row>
    <row r="748" spans="1:28" s="227" customFormat="1" ht="20.25">
      <c r="A748" s="181"/>
      <c r="B748" s="182"/>
      <c r="C748" s="186"/>
      <c r="D748" s="230"/>
      <c r="E748" s="182"/>
      <c r="F748" s="182"/>
      <c r="G748" s="182"/>
      <c r="H748" s="183"/>
      <c r="I748" s="184"/>
      <c r="J748" s="184"/>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si="106"/>
        <v>0</v>
      </c>
      <c r="AB748" s="228" t="str">
        <f t="shared" si="107"/>
        <v/>
      </c>
    </row>
    <row r="749" spans="1:28" s="227" customFormat="1" ht="20.25">
      <c r="A749" s="181"/>
      <c r="B749" s="182"/>
      <c r="C749" s="186"/>
      <c r="D749" s="230"/>
      <c r="E749" s="182"/>
      <c r="F749" s="182"/>
      <c r="G749" s="182"/>
      <c r="H749" s="183"/>
      <c r="I749" s="184"/>
      <c r="J749" s="184"/>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si="106"/>
        <v>0</v>
      </c>
      <c r="AB749" s="228" t="str">
        <f t="shared" si="107"/>
        <v/>
      </c>
    </row>
    <row r="750" spans="1:28" s="227" customFormat="1" ht="20.25">
      <c r="A750" s="181"/>
      <c r="B750" s="182"/>
      <c r="C750" s="186"/>
      <c r="D750" s="230"/>
      <c r="E750" s="182"/>
      <c r="F750" s="182"/>
      <c r="G750" s="182"/>
      <c r="H750" s="183"/>
      <c r="I750" s="184"/>
      <c r="J750" s="184"/>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si="106"/>
        <v>0</v>
      </c>
      <c r="AB750" s="228" t="str">
        <f t="shared" si="107"/>
        <v/>
      </c>
    </row>
    <row r="751" spans="1:28" s="227" customFormat="1" ht="20.25">
      <c r="A751" s="181"/>
      <c r="B751" s="182"/>
      <c r="C751" s="186"/>
      <c r="D751" s="230"/>
      <c r="E751" s="182"/>
      <c r="F751" s="182"/>
      <c r="G751" s="182"/>
      <c r="H751" s="183"/>
      <c r="I751" s="184"/>
      <c r="J751" s="184"/>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si="106"/>
        <v>0</v>
      </c>
      <c r="AB751" s="228" t="str">
        <f t="shared" si="107"/>
        <v/>
      </c>
    </row>
    <row r="752" spans="1:28" s="227" customFormat="1" ht="20.25">
      <c r="A752" s="181"/>
      <c r="B752" s="182"/>
      <c r="C752" s="186"/>
      <c r="D752" s="230"/>
      <c r="E752" s="182"/>
      <c r="F752" s="182"/>
      <c r="G752" s="182"/>
      <c r="H752" s="183"/>
      <c r="I752" s="184"/>
      <c r="J752" s="184"/>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si="106"/>
        <v>0</v>
      </c>
      <c r="AB752" s="228" t="str">
        <f t="shared" si="107"/>
        <v/>
      </c>
    </row>
    <row r="753" spans="1:28" s="227" customFormat="1" ht="20.25">
      <c r="A753" s="181"/>
      <c r="B753" s="182"/>
      <c r="C753" s="186"/>
      <c r="D753" s="230"/>
      <c r="E753" s="182"/>
      <c r="F753" s="182"/>
      <c r="G753" s="182"/>
      <c r="H753" s="183"/>
      <c r="I753" s="184"/>
      <c r="J753" s="184"/>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si="106"/>
        <v>0</v>
      </c>
      <c r="AB753" s="228" t="str">
        <f t="shared" si="107"/>
        <v/>
      </c>
    </row>
    <row r="754" spans="1:28" s="227" customFormat="1" ht="20.25">
      <c r="A754" s="181"/>
      <c r="B754" s="182"/>
      <c r="C754" s="186"/>
      <c r="D754" s="230"/>
      <c r="E754" s="182"/>
      <c r="F754" s="182"/>
      <c r="G754" s="182"/>
      <c r="H754" s="183"/>
      <c r="I754" s="184"/>
      <c r="J754" s="184"/>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si="106"/>
        <v>0</v>
      </c>
      <c r="AB754" s="228" t="str">
        <f t="shared" si="107"/>
        <v/>
      </c>
    </row>
    <row r="755" spans="1:28" s="227" customFormat="1" ht="20.25">
      <c r="A755" s="298"/>
      <c r="B755" s="294"/>
      <c r="C755" s="297"/>
      <c r="D755" s="294"/>
      <c r="E755" s="294"/>
      <c r="F755" s="294"/>
      <c r="G755" s="294"/>
      <c r="H755" s="299"/>
      <c r="I755" s="184"/>
      <c r="J755" s="184"/>
      <c r="K755" s="301"/>
      <c r="L755" s="301"/>
      <c r="M755" s="185"/>
      <c r="N755" s="185"/>
      <c r="O755" s="185"/>
      <c r="P755" s="300"/>
      <c r="Q755" s="293"/>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si="106"/>
        <v>0</v>
      </c>
      <c r="AB755" s="228" t="str">
        <f t="shared" si="107"/>
        <v/>
      </c>
    </row>
    <row r="756" spans="1:28" s="227" customFormat="1" ht="20.25">
      <c r="A756" s="298"/>
      <c r="B756" s="294"/>
      <c r="C756" s="297"/>
      <c r="D756" s="294"/>
      <c r="E756" s="294"/>
      <c r="F756" s="294"/>
      <c r="G756" s="294"/>
      <c r="H756" s="299"/>
      <c r="I756" s="184"/>
      <c r="J756" s="184"/>
      <c r="K756" s="300"/>
      <c r="L756" s="300"/>
      <c r="M756" s="295"/>
      <c r="N756" s="295"/>
      <c r="O756" s="295"/>
      <c r="P756" s="300"/>
      <c r="Q756" s="296"/>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si="106"/>
        <v>0</v>
      </c>
      <c r="AB756" s="228" t="str">
        <f t="shared" si="107"/>
        <v/>
      </c>
    </row>
    <row r="757" spans="1:28" s="227" customFormat="1" ht="20.25">
      <c r="A757" s="298"/>
      <c r="B757" s="294"/>
      <c r="C757" s="297"/>
      <c r="D757" s="294"/>
      <c r="E757" s="294"/>
      <c r="F757" s="294"/>
      <c r="G757" s="294"/>
      <c r="H757" s="299"/>
      <c r="I757" s="184"/>
      <c r="J757" s="184"/>
      <c r="K757" s="300"/>
      <c r="L757" s="300"/>
      <c r="M757" s="295"/>
      <c r="N757" s="295"/>
      <c r="O757" s="295"/>
      <c r="P757" s="300"/>
      <c r="Q757" s="296"/>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si="106"/>
        <v>0</v>
      </c>
      <c r="AB757" s="228" t="str">
        <f t="shared" si="107"/>
        <v/>
      </c>
    </row>
    <row r="758" spans="1:28" s="227" customFormat="1" ht="20.25">
      <c r="A758" s="298"/>
      <c r="B758" s="294"/>
      <c r="C758" s="297"/>
      <c r="D758" s="294"/>
      <c r="E758" s="294"/>
      <c r="F758" s="294"/>
      <c r="G758" s="294"/>
      <c r="H758" s="299"/>
      <c r="I758" s="184"/>
      <c r="J758" s="184"/>
      <c r="K758" s="300"/>
      <c r="L758" s="300"/>
      <c r="M758" s="295"/>
      <c r="N758" s="295"/>
      <c r="O758" s="295"/>
      <c r="P758" s="300"/>
      <c r="Q758" s="296"/>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si="106"/>
        <v>0</v>
      </c>
      <c r="AB758" s="228" t="str">
        <f t="shared" si="107"/>
        <v/>
      </c>
    </row>
    <row r="759" spans="1:28" s="227" customFormat="1" ht="20.25">
      <c r="A759" s="298"/>
      <c r="B759" s="294"/>
      <c r="C759" s="297"/>
      <c r="D759" s="294"/>
      <c r="E759" s="294"/>
      <c r="F759" s="294"/>
      <c r="G759" s="294"/>
      <c r="H759" s="183"/>
      <c r="I759" s="184"/>
      <c r="J759" s="184"/>
      <c r="K759" s="301"/>
      <c r="L759" s="301"/>
      <c r="M759" s="295"/>
      <c r="N759" s="295"/>
      <c r="O759" s="295"/>
      <c r="P759" s="300"/>
      <c r="Q759" s="296"/>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si="106"/>
        <v>0</v>
      </c>
      <c r="AB759" s="228" t="str">
        <f t="shared" si="107"/>
        <v/>
      </c>
    </row>
    <row r="760" spans="1:28" s="227" customFormat="1" ht="20.25">
      <c r="A760" s="181"/>
      <c r="B760" s="182"/>
      <c r="C760" s="186"/>
      <c r="D760" s="230"/>
      <c r="E760" s="182"/>
      <c r="F760" s="182"/>
      <c r="G760" s="182"/>
      <c r="H760" s="183"/>
      <c r="I760" s="184"/>
      <c r="J760" s="184"/>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si="106"/>
        <v>0</v>
      </c>
      <c r="AB760" s="228" t="str">
        <f t="shared" si="107"/>
        <v/>
      </c>
    </row>
    <row r="761" spans="1:28" s="227" customFormat="1" ht="20.25">
      <c r="A761" s="302"/>
      <c r="B761" s="303"/>
      <c r="C761" s="304"/>
      <c r="D761" s="305"/>
      <c r="E761" s="303"/>
      <c r="F761" s="303"/>
      <c r="G761" s="303"/>
      <c r="H761" s="306"/>
      <c r="I761" s="307"/>
      <c r="J761" s="307"/>
      <c r="K761" s="308"/>
      <c r="L761" s="308"/>
      <c r="M761" s="308"/>
      <c r="N761" s="308"/>
      <c r="O761" s="308"/>
      <c r="P761" s="309"/>
      <c r="Q761" s="310"/>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si="106"/>
        <v>0</v>
      </c>
      <c r="AB761" s="228" t="str">
        <f t="shared" si="107"/>
        <v/>
      </c>
    </row>
    <row r="762" spans="1:28" s="227" customFormat="1" ht="20.25">
      <c r="A762" s="302"/>
      <c r="B762" s="303"/>
      <c r="C762" s="304"/>
      <c r="D762" s="305"/>
      <c r="E762" s="303"/>
      <c r="F762" s="303"/>
      <c r="G762" s="303"/>
      <c r="H762" s="306"/>
      <c r="I762" s="307"/>
      <c r="J762" s="307"/>
      <c r="K762" s="308"/>
      <c r="L762" s="308"/>
      <c r="M762" s="308"/>
      <c r="N762" s="308"/>
      <c r="O762" s="308"/>
      <c r="P762" s="309"/>
      <c r="Q762" s="310"/>
      <c r="R762" s="182" t="str">
        <f ca="1">IF(ISERROR($V762),"",OFFSET('Smelter Look-up'!$C$4,$V762-4,0)&amp;"")</f>
        <v/>
      </c>
      <c r="S762" s="181" t="str">
        <f t="shared" ca="1" si="10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si="106"/>
        <v>0</v>
      </c>
      <c r="AB762" s="228" t="str">
        <f t="shared" si="107"/>
        <v/>
      </c>
    </row>
    <row r="763" spans="1:28" s="227" customFormat="1" ht="20.25">
      <c r="A763" s="302"/>
      <c r="B763" s="303"/>
      <c r="C763" s="304"/>
      <c r="D763" s="305"/>
      <c r="E763" s="303"/>
      <c r="F763" s="303"/>
      <c r="G763" s="303"/>
      <c r="H763" s="306"/>
      <c r="I763" s="307"/>
      <c r="J763" s="307"/>
      <c r="K763" s="308"/>
      <c r="L763" s="308"/>
      <c r="M763" s="308"/>
      <c r="N763" s="308"/>
      <c r="O763" s="308"/>
      <c r="P763" s="309"/>
      <c r="Q763" s="310"/>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si="109">IF(AND(C763="Smelter not listed",OR(LEN(D763)=0,LEN(E763)=0)),1,0)</f>
        <v>0</v>
      </c>
      <c r="AB763" s="228" t="str">
        <f t="shared" ref="AB763" si="110">B763&amp;C763</f>
        <v/>
      </c>
    </row>
    <row r="764" spans="1:28" s="227" customFormat="1" ht="20.25">
      <c r="A764" s="302"/>
      <c r="B764" s="303"/>
      <c r="C764" s="304"/>
      <c r="D764" s="305"/>
      <c r="E764" s="303"/>
      <c r="F764" s="303"/>
      <c r="G764" s="303"/>
      <c r="H764" s="306"/>
      <c r="I764" s="307"/>
      <c r="J764" s="307"/>
      <c r="K764" s="308"/>
      <c r="L764" s="308"/>
      <c r="M764" s="308"/>
      <c r="N764" s="308"/>
      <c r="O764" s="308"/>
      <c r="P764" s="309"/>
      <c r="Q764" s="310"/>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si="112">IF(AND(C764="Smelter not listed",OR(LEN(D764)=0,LEN(E764)=0)),1,0)</f>
        <v>0</v>
      </c>
      <c r="AB764" s="228" t="str">
        <f t="shared" ref="AB764:AB795" si="113">B764&amp;C764</f>
        <v/>
      </c>
    </row>
    <row r="765" spans="1:28" s="227" customFormat="1" ht="20.25">
      <c r="A765" s="302"/>
      <c r="B765" s="303"/>
      <c r="C765" s="304"/>
      <c r="D765" s="305"/>
      <c r="E765" s="303"/>
      <c r="F765" s="303"/>
      <c r="G765" s="303"/>
      <c r="H765" s="306"/>
      <c r="I765" s="307"/>
      <c r="J765" s="307"/>
      <c r="K765" s="308"/>
      <c r="L765" s="308"/>
      <c r="M765" s="308"/>
      <c r="N765" s="308"/>
      <c r="O765" s="308"/>
      <c r="P765" s="309"/>
      <c r="Q765" s="310"/>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si="112"/>
        <v>0</v>
      </c>
      <c r="AB765" s="228" t="str">
        <f t="shared" si="113"/>
        <v/>
      </c>
    </row>
    <row r="766" spans="1:28" s="227" customFormat="1" ht="20.25">
      <c r="A766" s="302"/>
      <c r="B766" s="303"/>
      <c r="C766" s="304"/>
      <c r="D766" s="305"/>
      <c r="E766" s="303"/>
      <c r="F766" s="303"/>
      <c r="G766" s="303"/>
      <c r="H766" s="306"/>
      <c r="I766" s="307"/>
      <c r="J766" s="307"/>
      <c r="K766" s="308"/>
      <c r="L766" s="308"/>
      <c r="M766" s="308"/>
      <c r="N766" s="308"/>
      <c r="O766" s="308"/>
      <c r="P766" s="309"/>
      <c r="Q766" s="310"/>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si="112"/>
        <v>0</v>
      </c>
      <c r="AB766" s="228" t="str">
        <f t="shared" si="113"/>
        <v/>
      </c>
    </row>
    <row r="767" spans="1:28" s="227" customFormat="1" ht="20.25">
      <c r="A767" s="302"/>
      <c r="B767" s="303"/>
      <c r="C767" s="304"/>
      <c r="D767" s="305"/>
      <c r="E767" s="303"/>
      <c r="F767" s="303"/>
      <c r="G767" s="303"/>
      <c r="H767" s="306"/>
      <c r="I767" s="307"/>
      <c r="J767" s="307"/>
      <c r="K767" s="308"/>
      <c r="L767" s="308"/>
      <c r="M767" s="308"/>
      <c r="N767" s="308"/>
      <c r="O767" s="308"/>
      <c r="P767" s="309"/>
      <c r="Q767" s="310"/>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si="112"/>
        <v>0</v>
      </c>
      <c r="AB767" s="228" t="str">
        <f t="shared" si="113"/>
        <v/>
      </c>
    </row>
    <row r="768" spans="1:28" s="227" customFormat="1" ht="20.25">
      <c r="A768" s="302"/>
      <c r="B768" s="303"/>
      <c r="C768" s="304"/>
      <c r="D768" s="305"/>
      <c r="E768" s="303"/>
      <c r="F768" s="303"/>
      <c r="G768" s="303"/>
      <c r="H768" s="306"/>
      <c r="I768" s="307"/>
      <c r="J768" s="307"/>
      <c r="K768" s="308"/>
      <c r="L768" s="308"/>
      <c r="M768" s="308"/>
      <c r="N768" s="308"/>
      <c r="O768" s="308"/>
      <c r="P768" s="309"/>
      <c r="Q768" s="310"/>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si="112"/>
        <v>0</v>
      </c>
      <c r="AB768" s="228" t="str">
        <f t="shared" si="113"/>
        <v/>
      </c>
    </row>
    <row r="769" spans="1:28" s="227" customFormat="1" ht="20.25">
      <c r="A769" s="302"/>
      <c r="B769" s="303"/>
      <c r="C769" s="304"/>
      <c r="D769" s="305"/>
      <c r="E769" s="303"/>
      <c r="F769" s="303"/>
      <c r="G769" s="303"/>
      <c r="H769" s="306"/>
      <c r="I769" s="307"/>
      <c r="J769" s="307"/>
      <c r="K769" s="308"/>
      <c r="L769" s="308"/>
      <c r="M769" s="308"/>
      <c r="N769" s="308"/>
      <c r="O769" s="308"/>
      <c r="P769" s="309"/>
      <c r="Q769" s="310"/>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si="112"/>
        <v>0</v>
      </c>
      <c r="AB769" s="228" t="str">
        <f t="shared" si="113"/>
        <v/>
      </c>
    </row>
    <row r="770" spans="1:28" s="227" customFormat="1" ht="20.25">
      <c r="A770" s="302"/>
      <c r="B770" s="303"/>
      <c r="C770" s="304"/>
      <c r="D770" s="305"/>
      <c r="E770" s="303"/>
      <c r="F770" s="303"/>
      <c r="G770" s="303"/>
      <c r="H770" s="306"/>
      <c r="I770" s="307"/>
      <c r="J770" s="307"/>
      <c r="K770" s="308"/>
      <c r="L770" s="308"/>
      <c r="M770" s="308"/>
      <c r="N770" s="308"/>
      <c r="O770" s="308"/>
      <c r="P770" s="309"/>
      <c r="Q770" s="310"/>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si="112"/>
        <v>0</v>
      </c>
      <c r="AB770" s="228" t="str">
        <f t="shared" si="113"/>
        <v/>
      </c>
    </row>
    <row r="771" spans="1:28" s="227" customFormat="1" ht="20.25">
      <c r="A771" s="302"/>
      <c r="B771" s="303"/>
      <c r="C771" s="304"/>
      <c r="D771" s="305"/>
      <c r="E771" s="303"/>
      <c r="F771" s="303"/>
      <c r="G771" s="303"/>
      <c r="H771" s="306"/>
      <c r="I771" s="307"/>
      <c r="J771" s="307"/>
      <c r="K771" s="308"/>
      <c r="L771" s="308"/>
      <c r="M771" s="308"/>
      <c r="N771" s="308"/>
      <c r="O771" s="308"/>
      <c r="P771" s="309"/>
      <c r="Q771" s="310"/>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si="112"/>
        <v>0</v>
      </c>
      <c r="AB771" s="228" t="str">
        <f t="shared" si="113"/>
        <v/>
      </c>
    </row>
    <row r="772" spans="1:28" s="227" customFormat="1" ht="20.25">
      <c r="A772" s="302"/>
      <c r="B772" s="303"/>
      <c r="C772" s="304"/>
      <c r="D772" s="305"/>
      <c r="E772" s="303"/>
      <c r="F772" s="303"/>
      <c r="G772" s="303"/>
      <c r="H772" s="306"/>
      <c r="I772" s="307"/>
      <c r="J772" s="307"/>
      <c r="K772" s="308"/>
      <c r="L772" s="308"/>
      <c r="M772" s="308"/>
      <c r="N772" s="308"/>
      <c r="O772" s="308"/>
      <c r="P772" s="309"/>
      <c r="Q772" s="310"/>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si="112"/>
        <v>0</v>
      </c>
      <c r="AB772" s="228" t="str">
        <f t="shared" si="113"/>
        <v/>
      </c>
    </row>
    <row r="773" spans="1:28" s="227" customFormat="1" ht="20.25">
      <c r="A773" s="302"/>
      <c r="B773" s="303"/>
      <c r="C773" s="304"/>
      <c r="D773" s="305"/>
      <c r="E773" s="303"/>
      <c r="F773" s="303"/>
      <c r="G773" s="303"/>
      <c r="H773" s="306"/>
      <c r="I773" s="307"/>
      <c r="J773" s="307"/>
      <c r="K773" s="308"/>
      <c r="L773" s="308"/>
      <c r="M773" s="308"/>
      <c r="N773" s="308"/>
      <c r="O773" s="308"/>
      <c r="P773" s="309"/>
      <c r="Q773" s="310"/>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si="112"/>
        <v>0</v>
      </c>
      <c r="AB773" s="228" t="str">
        <f t="shared" si="113"/>
        <v/>
      </c>
    </row>
    <row r="774" spans="1:28" s="227" customFormat="1" ht="20.25">
      <c r="A774" s="311"/>
      <c r="B774" s="303"/>
      <c r="C774" s="304"/>
      <c r="D774" s="305"/>
      <c r="E774" s="303"/>
      <c r="F774" s="303"/>
      <c r="G774" s="303"/>
      <c r="H774" s="306"/>
      <c r="I774" s="307"/>
      <c r="J774" s="307"/>
      <c r="K774" s="308"/>
      <c r="L774" s="308"/>
      <c r="M774" s="308"/>
      <c r="N774" s="308"/>
      <c r="O774" s="308"/>
      <c r="P774" s="309"/>
      <c r="Q774" s="310"/>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si="112"/>
        <v>0</v>
      </c>
      <c r="AB774" s="228" t="str">
        <f t="shared" si="113"/>
        <v/>
      </c>
    </row>
    <row r="775" spans="1:28" s="227" customFormat="1" ht="20.25">
      <c r="A775" s="311"/>
      <c r="B775" s="303"/>
      <c r="C775" s="304"/>
      <c r="D775" s="305"/>
      <c r="E775" s="303"/>
      <c r="F775" s="303"/>
      <c r="G775" s="303"/>
      <c r="H775" s="306"/>
      <c r="I775" s="307"/>
      <c r="J775" s="307"/>
      <c r="K775" s="308"/>
      <c r="L775" s="308"/>
      <c r="M775" s="308"/>
      <c r="N775" s="308"/>
      <c r="O775" s="308"/>
      <c r="P775" s="309"/>
      <c r="Q775" s="310"/>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si="112"/>
        <v>0</v>
      </c>
      <c r="AB775" s="228" t="str">
        <f t="shared" si="113"/>
        <v/>
      </c>
    </row>
    <row r="776" spans="1:28" s="227" customFormat="1" ht="20.25">
      <c r="A776" s="311"/>
      <c r="B776" s="303"/>
      <c r="C776" s="304"/>
      <c r="D776" s="305"/>
      <c r="E776" s="303"/>
      <c r="F776" s="303"/>
      <c r="G776" s="303"/>
      <c r="H776" s="306"/>
      <c r="I776" s="307"/>
      <c r="J776" s="307"/>
      <c r="K776" s="308"/>
      <c r="L776" s="308"/>
      <c r="M776" s="308"/>
      <c r="N776" s="308"/>
      <c r="O776" s="308"/>
      <c r="P776" s="309"/>
      <c r="Q776" s="310"/>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si="112"/>
        <v>0</v>
      </c>
      <c r="AB776" s="228" t="str">
        <f t="shared" si="113"/>
        <v/>
      </c>
    </row>
    <row r="777" spans="1:28" s="227" customFormat="1" ht="20.25">
      <c r="A777" s="311"/>
      <c r="B777" s="303"/>
      <c r="C777" s="304"/>
      <c r="D777" s="305"/>
      <c r="E777" s="303"/>
      <c r="F777" s="303"/>
      <c r="G777" s="303"/>
      <c r="H777" s="306"/>
      <c r="I777" s="307"/>
      <c r="J777" s="307"/>
      <c r="K777" s="308"/>
      <c r="L777" s="308"/>
      <c r="M777" s="308"/>
      <c r="N777" s="308"/>
      <c r="O777" s="308"/>
      <c r="P777" s="309"/>
      <c r="Q777" s="310"/>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si="112"/>
        <v>0</v>
      </c>
      <c r="AB777" s="228" t="str">
        <f t="shared" si="113"/>
        <v/>
      </c>
    </row>
    <row r="778" spans="1:28" s="227" customFormat="1" ht="20.25">
      <c r="A778" s="311"/>
      <c r="B778" s="303"/>
      <c r="C778" s="304"/>
      <c r="D778" s="305"/>
      <c r="E778" s="303"/>
      <c r="F778" s="303"/>
      <c r="G778" s="303"/>
      <c r="H778" s="306"/>
      <c r="I778" s="307"/>
      <c r="J778" s="307"/>
      <c r="K778" s="308"/>
      <c r="L778" s="308"/>
      <c r="M778" s="308"/>
      <c r="N778" s="308"/>
      <c r="O778" s="308"/>
      <c r="P778" s="309"/>
      <c r="Q778" s="310"/>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si="112"/>
        <v>0</v>
      </c>
      <c r="AB778" s="228" t="str">
        <f t="shared" si="113"/>
        <v/>
      </c>
    </row>
    <row r="779" spans="1:28" s="227" customFormat="1" ht="20.25">
      <c r="A779" s="311"/>
      <c r="B779" s="303"/>
      <c r="C779" s="304"/>
      <c r="D779" s="305"/>
      <c r="E779" s="303"/>
      <c r="F779" s="303"/>
      <c r="G779" s="303"/>
      <c r="H779" s="306"/>
      <c r="I779" s="307"/>
      <c r="J779" s="307"/>
      <c r="K779" s="308"/>
      <c r="L779" s="308"/>
      <c r="M779" s="308"/>
      <c r="N779" s="308"/>
      <c r="O779" s="308"/>
      <c r="P779" s="309"/>
      <c r="Q779" s="310"/>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si="112"/>
        <v>0</v>
      </c>
      <c r="AB779" s="228" t="str">
        <f t="shared" si="113"/>
        <v/>
      </c>
    </row>
    <row r="780" spans="1:28" s="227" customFormat="1" ht="20.25">
      <c r="A780" s="311"/>
      <c r="B780" s="303"/>
      <c r="C780" s="304"/>
      <c r="D780" s="305"/>
      <c r="E780" s="303"/>
      <c r="F780" s="303"/>
      <c r="G780" s="303"/>
      <c r="H780" s="306"/>
      <c r="I780" s="307"/>
      <c r="J780" s="307"/>
      <c r="K780" s="308"/>
      <c r="L780" s="308"/>
      <c r="M780" s="308"/>
      <c r="N780" s="308"/>
      <c r="O780" s="308"/>
      <c r="P780" s="309"/>
      <c r="Q780" s="310"/>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si="112"/>
        <v>0</v>
      </c>
      <c r="AB780" s="228" t="str">
        <f t="shared" si="113"/>
        <v/>
      </c>
    </row>
    <row r="781" spans="1:28" s="227" customFormat="1" ht="20.25">
      <c r="A781" s="311"/>
      <c r="B781" s="303"/>
      <c r="C781" s="304"/>
      <c r="D781" s="305"/>
      <c r="E781" s="303"/>
      <c r="F781" s="303"/>
      <c r="G781" s="303"/>
      <c r="H781" s="306"/>
      <c r="I781" s="307"/>
      <c r="J781" s="307"/>
      <c r="K781" s="308"/>
      <c r="L781" s="308"/>
      <c r="M781" s="308"/>
      <c r="N781" s="308"/>
      <c r="O781" s="308"/>
      <c r="P781" s="309"/>
      <c r="Q781" s="310"/>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si="112"/>
        <v>0</v>
      </c>
      <c r="AB781" s="228" t="str">
        <f t="shared" si="113"/>
        <v/>
      </c>
    </row>
    <row r="782" spans="1:28" s="227" customFormat="1" ht="20.25">
      <c r="A782" s="311"/>
      <c r="B782" s="303"/>
      <c r="C782" s="304"/>
      <c r="D782" s="305"/>
      <c r="E782" s="303"/>
      <c r="F782" s="303"/>
      <c r="G782" s="303"/>
      <c r="H782" s="306"/>
      <c r="I782" s="307"/>
      <c r="J782" s="307"/>
      <c r="K782" s="308"/>
      <c r="L782" s="308"/>
      <c r="M782" s="308"/>
      <c r="N782" s="308"/>
      <c r="O782" s="308"/>
      <c r="P782" s="309"/>
      <c r="Q782" s="310"/>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si="112"/>
        <v>0</v>
      </c>
      <c r="AB782" s="228" t="str">
        <f t="shared" si="113"/>
        <v/>
      </c>
    </row>
    <row r="783" spans="1:28" s="227" customFormat="1" ht="20.25">
      <c r="A783" s="311"/>
      <c r="B783" s="303"/>
      <c r="C783" s="304"/>
      <c r="D783" s="305"/>
      <c r="E783" s="303"/>
      <c r="F783" s="303"/>
      <c r="G783" s="303"/>
      <c r="H783" s="306"/>
      <c r="I783" s="307"/>
      <c r="J783" s="307"/>
      <c r="K783" s="308"/>
      <c r="L783" s="308"/>
      <c r="M783" s="308"/>
      <c r="N783" s="308"/>
      <c r="O783" s="308"/>
      <c r="P783" s="309"/>
      <c r="Q783" s="310"/>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si="112"/>
        <v>0</v>
      </c>
      <c r="AB783" s="228" t="str">
        <f t="shared" si="113"/>
        <v/>
      </c>
    </row>
    <row r="784" spans="1:28" s="227" customFormat="1" ht="20.25">
      <c r="A784" s="311"/>
      <c r="B784" s="303"/>
      <c r="C784" s="304"/>
      <c r="D784" s="305"/>
      <c r="E784" s="303"/>
      <c r="F784" s="303"/>
      <c r="G784" s="303"/>
      <c r="H784" s="306"/>
      <c r="I784" s="307"/>
      <c r="J784" s="307"/>
      <c r="K784" s="308"/>
      <c r="L784" s="308"/>
      <c r="M784" s="308"/>
      <c r="N784" s="308"/>
      <c r="O784" s="308"/>
      <c r="P784" s="309"/>
      <c r="Q784" s="310"/>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si="112"/>
        <v>0</v>
      </c>
      <c r="AB784" s="228" t="str">
        <f t="shared" si="113"/>
        <v/>
      </c>
    </row>
    <row r="785" spans="1:28" s="227" customFormat="1" ht="20.25">
      <c r="A785" s="311"/>
      <c r="B785" s="303"/>
      <c r="C785" s="304"/>
      <c r="D785" s="305"/>
      <c r="E785" s="303"/>
      <c r="F785" s="303"/>
      <c r="G785" s="303"/>
      <c r="H785" s="306"/>
      <c r="I785" s="307"/>
      <c r="J785" s="307"/>
      <c r="K785" s="308"/>
      <c r="L785" s="308"/>
      <c r="M785" s="308"/>
      <c r="N785" s="308"/>
      <c r="O785" s="308"/>
      <c r="P785" s="309"/>
      <c r="Q785" s="310"/>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si="112"/>
        <v>0</v>
      </c>
      <c r="AB785" s="228" t="str">
        <f t="shared" si="113"/>
        <v/>
      </c>
    </row>
    <row r="786" spans="1:28" s="227" customFormat="1" ht="20.25">
      <c r="A786" s="311"/>
      <c r="B786" s="303"/>
      <c r="C786" s="304"/>
      <c r="D786" s="305"/>
      <c r="E786" s="303"/>
      <c r="F786" s="303"/>
      <c r="G786" s="303"/>
      <c r="H786" s="306"/>
      <c r="I786" s="307"/>
      <c r="J786" s="307"/>
      <c r="K786" s="308"/>
      <c r="L786" s="308"/>
      <c r="M786" s="308"/>
      <c r="N786" s="308"/>
      <c r="O786" s="308"/>
      <c r="P786" s="309"/>
      <c r="Q786" s="310"/>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si="112"/>
        <v>0</v>
      </c>
      <c r="AB786" s="228" t="str">
        <f t="shared" si="113"/>
        <v/>
      </c>
    </row>
    <row r="787" spans="1:28" s="227" customFormat="1" ht="20.25">
      <c r="A787" s="311"/>
      <c r="B787" s="303"/>
      <c r="C787" s="304"/>
      <c r="D787" s="305"/>
      <c r="E787" s="303"/>
      <c r="F787" s="303"/>
      <c r="G787" s="303"/>
      <c r="H787" s="306"/>
      <c r="I787" s="307"/>
      <c r="J787" s="307"/>
      <c r="K787" s="308"/>
      <c r="L787" s="308"/>
      <c r="M787" s="308"/>
      <c r="N787" s="308"/>
      <c r="O787" s="308"/>
      <c r="P787" s="309"/>
      <c r="Q787" s="310"/>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si="112"/>
        <v>0</v>
      </c>
      <c r="AB787" s="228" t="str">
        <f t="shared" si="113"/>
        <v/>
      </c>
    </row>
    <row r="788" spans="1:28" s="227" customFormat="1" ht="20.25">
      <c r="A788" s="311"/>
      <c r="B788" s="303"/>
      <c r="C788" s="304"/>
      <c r="D788" s="305"/>
      <c r="E788" s="303"/>
      <c r="F788" s="303"/>
      <c r="G788" s="303"/>
      <c r="H788" s="306"/>
      <c r="I788" s="307"/>
      <c r="J788" s="307"/>
      <c r="K788" s="308"/>
      <c r="L788" s="308"/>
      <c r="M788" s="308"/>
      <c r="N788" s="308"/>
      <c r="O788" s="308"/>
      <c r="P788" s="309"/>
      <c r="Q788" s="310"/>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si="112"/>
        <v>0</v>
      </c>
      <c r="AB788" s="228" t="str">
        <f t="shared" si="113"/>
        <v/>
      </c>
    </row>
    <row r="789" spans="1:28" s="227" customFormat="1" ht="20.25">
      <c r="A789" s="311"/>
      <c r="B789" s="303"/>
      <c r="C789" s="304"/>
      <c r="D789" s="305"/>
      <c r="E789" s="303"/>
      <c r="F789" s="303"/>
      <c r="G789" s="303"/>
      <c r="H789" s="306"/>
      <c r="I789" s="307"/>
      <c r="J789" s="307"/>
      <c r="K789" s="308"/>
      <c r="L789" s="308"/>
      <c r="M789" s="308"/>
      <c r="N789" s="308"/>
      <c r="O789" s="308"/>
      <c r="P789" s="309"/>
      <c r="Q789" s="310"/>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si="112"/>
        <v>0</v>
      </c>
      <c r="AB789" s="228" t="str">
        <f t="shared" si="113"/>
        <v/>
      </c>
    </row>
    <row r="790" spans="1:28" s="227" customFormat="1" ht="20.25">
      <c r="A790" s="311"/>
      <c r="B790" s="303"/>
      <c r="C790" s="304"/>
      <c r="D790" s="305"/>
      <c r="E790" s="303"/>
      <c r="F790" s="303"/>
      <c r="G790" s="303"/>
      <c r="H790" s="306"/>
      <c r="I790" s="307"/>
      <c r="J790" s="307"/>
      <c r="K790" s="308"/>
      <c r="L790" s="308"/>
      <c r="M790" s="308"/>
      <c r="N790" s="308"/>
      <c r="O790" s="308"/>
      <c r="P790" s="309"/>
      <c r="Q790" s="310"/>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si="112"/>
        <v>0</v>
      </c>
      <c r="AB790" s="228" t="str">
        <f t="shared" si="113"/>
        <v/>
      </c>
    </row>
    <row r="791" spans="1:28" s="227" customFormat="1" ht="20.25">
      <c r="A791" s="311"/>
      <c r="B791" s="303"/>
      <c r="C791" s="304"/>
      <c r="D791" s="305"/>
      <c r="E791" s="303"/>
      <c r="F791" s="303"/>
      <c r="G791" s="303"/>
      <c r="H791" s="306"/>
      <c r="I791" s="307"/>
      <c r="J791" s="307"/>
      <c r="K791" s="308"/>
      <c r="L791" s="308"/>
      <c r="M791" s="308"/>
      <c r="N791" s="308"/>
      <c r="O791" s="308"/>
      <c r="P791" s="309"/>
      <c r="Q791" s="310"/>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si="112"/>
        <v>0</v>
      </c>
      <c r="AB791" s="228" t="str">
        <f t="shared" si="113"/>
        <v/>
      </c>
    </row>
    <row r="792" spans="1:28" s="227" customFormat="1" ht="20.25">
      <c r="A792" s="311"/>
      <c r="B792" s="303"/>
      <c r="C792" s="304"/>
      <c r="D792" s="305"/>
      <c r="E792" s="303"/>
      <c r="F792" s="303"/>
      <c r="G792" s="303"/>
      <c r="H792" s="306"/>
      <c r="I792" s="307"/>
      <c r="J792" s="307"/>
      <c r="K792" s="308"/>
      <c r="L792" s="308"/>
      <c r="M792" s="308"/>
      <c r="N792" s="308"/>
      <c r="O792" s="308"/>
      <c r="P792" s="309"/>
      <c r="Q792" s="310"/>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si="112"/>
        <v>0</v>
      </c>
      <c r="AB792" s="228" t="str">
        <f t="shared" si="113"/>
        <v/>
      </c>
    </row>
    <row r="793" spans="1:28" s="227" customFormat="1" ht="20.25">
      <c r="A793" s="311"/>
      <c r="B793" s="303"/>
      <c r="C793" s="304"/>
      <c r="D793" s="305"/>
      <c r="E793" s="303"/>
      <c r="F793" s="303"/>
      <c r="G793" s="303"/>
      <c r="H793" s="306"/>
      <c r="I793" s="307"/>
      <c r="J793" s="307"/>
      <c r="K793" s="308"/>
      <c r="L793" s="308"/>
      <c r="M793" s="308"/>
      <c r="N793" s="308"/>
      <c r="O793" s="308"/>
      <c r="P793" s="309"/>
      <c r="Q793" s="310"/>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si="112"/>
        <v>0</v>
      </c>
      <c r="AB793" s="228" t="str">
        <f t="shared" si="113"/>
        <v/>
      </c>
    </row>
    <row r="794" spans="1:28" s="227" customFormat="1" ht="20.25">
      <c r="A794" s="311"/>
      <c r="B794" s="303"/>
      <c r="C794" s="304"/>
      <c r="D794" s="305"/>
      <c r="E794" s="303"/>
      <c r="F794" s="303"/>
      <c r="G794" s="303"/>
      <c r="H794" s="306"/>
      <c r="I794" s="307"/>
      <c r="J794" s="307"/>
      <c r="K794" s="308"/>
      <c r="L794" s="308"/>
      <c r="M794" s="308"/>
      <c r="N794" s="308"/>
      <c r="O794" s="308"/>
      <c r="P794" s="309"/>
      <c r="Q794" s="310"/>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si="112"/>
        <v>0</v>
      </c>
      <c r="AB794" s="228" t="str">
        <f t="shared" si="113"/>
        <v/>
      </c>
    </row>
    <row r="795" spans="1:28" s="227" customFormat="1" ht="20.25">
      <c r="A795" s="311"/>
      <c r="B795" s="303"/>
      <c r="C795" s="304"/>
      <c r="D795" s="305"/>
      <c r="E795" s="303"/>
      <c r="F795" s="303"/>
      <c r="G795" s="303"/>
      <c r="H795" s="306"/>
      <c r="I795" s="307"/>
      <c r="J795" s="307"/>
      <c r="K795" s="308"/>
      <c r="L795" s="308"/>
      <c r="M795" s="308"/>
      <c r="N795" s="308"/>
      <c r="O795" s="308"/>
      <c r="P795" s="309"/>
      <c r="Q795" s="310"/>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si="112"/>
        <v>0</v>
      </c>
      <c r="AB795" s="228" t="str">
        <f t="shared" si="113"/>
        <v/>
      </c>
    </row>
    <row r="796" spans="1:28" s="227" customFormat="1" ht="20.25">
      <c r="A796" s="311"/>
      <c r="B796" s="303"/>
      <c r="C796" s="304"/>
      <c r="D796" s="305"/>
      <c r="E796" s="303"/>
      <c r="F796" s="303"/>
      <c r="G796" s="303"/>
      <c r="H796" s="306"/>
      <c r="I796" s="307"/>
      <c r="J796" s="307"/>
      <c r="K796" s="308"/>
      <c r="L796" s="308"/>
      <c r="M796" s="308"/>
      <c r="N796" s="308"/>
      <c r="O796" s="308"/>
      <c r="P796" s="309"/>
      <c r="Q796" s="310"/>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si="115">IF(AND(C796="Smelter not listed",OR(LEN(D796)=0,LEN(E796)=0)),1,0)</f>
        <v>0</v>
      </c>
      <c r="AB796" s="228" t="str">
        <f t="shared" ref="AB796:AB826" si="116">B796&amp;C796</f>
        <v/>
      </c>
    </row>
    <row r="797" spans="1:28" s="227" customFormat="1" ht="20.25">
      <c r="A797" s="311"/>
      <c r="B797" s="303"/>
      <c r="C797" s="304"/>
      <c r="D797" s="305"/>
      <c r="E797" s="303"/>
      <c r="F797" s="303"/>
      <c r="G797" s="303"/>
      <c r="H797" s="306"/>
      <c r="I797" s="307"/>
      <c r="J797" s="307"/>
      <c r="K797" s="308"/>
      <c r="L797" s="308"/>
      <c r="M797" s="308"/>
      <c r="N797" s="308"/>
      <c r="O797" s="308"/>
      <c r="P797" s="309"/>
      <c r="Q797" s="310"/>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si="115"/>
        <v>0</v>
      </c>
      <c r="AB797" s="228" t="str">
        <f t="shared" si="116"/>
        <v/>
      </c>
    </row>
    <row r="798" spans="1:28" s="227" customFormat="1" ht="20.25">
      <c r="A798" s="311"/>
      <c r="B798" s="303"/>
      <c r="C798" s="304"/>
      <c r="D798" s="305"/>
      <c r="E798" s="303"/>
      <c r="F798" s="303"/>
      <c r="G798" s="303"/>
      <c r="H798" s="306"/>
      <c r="I798" s="307"/>
      <c r="J798" s="307"/>
      <c r="K798" s="308"/>
      <c r="L798" s="308"/>
      <c r="M798" s="308"/>
      <c r="N798" s="308"/>
      <c r="O798" s="308"/>
      <c r="P798" s="309"/>
      <c r="Q798" s="310"/>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si="115"/>
        <v>0</v>
      </c>
      <c r="AB798" s="228" t="str">
        <f t="shared" si="116"/>
        <v/>
      </c>
    </row>
    <row r="799" spans="1:28" s="227" customFormat="1" ht="20.25">
      <c r="A799" s="311"/>
      <c r="B799" s="303"/>
      <c r="C799" s="304"/>
      <c r="D799" s="305"/>
      <c r="E799" s="303"/>
      <c r="F799" s="303"/>
      <c r="G799" s="303"/>
      <c r="H799" s="306"/>
      <c r="I799" s="307"/>
      <c r="J799" s="307"/>
      <c r="K799" s="308"/>
      <c r="L799" s="308"/>
      <c r="M799" s="308"/>
      <c r="N799" s="308"/>
      <c r="O799" s="308"/>
      <c r="P799" s="309"/>
      <c r="Q799" s="310"/>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si="115"/>
        <v>0</v>
      </c>
      <c r="AB799" s="228" t="str">
        <f t="shared" si="116"/>
        <v/>
      </c>
    </row>
    <row r="800" spans="1:28" s="227" customFormat="1" ht="20.25">
      <c r="A800" s="311"/>
      <c r="B800" s="303"/>
      <c r="C800" s="304"/>
      <c r="D800" s="305"/>
      <c r="E800" s="303"/>
      <c r="F800" s="303"/>
      <c r="G800" s="303"/>
      <c r="H800" s="306"/>
      <c r="I800" s="307"/>
      <c r="J800" s="307"/>
      <c r="K800" s="308"/>
      <c r="L800" s="308"/>
      <c r="M800" s="308"/>
      <c r="N800" s="308"/>
      <c r="O800" s="308"/>
      <c r="P800" s="309"/>
      <c r="Q800" s="310"/>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si="115"/>
        <v>0</v>
      </c>
      <c r="AB800" s="228" t="str">
        <f t="shared" si="116"/>
        <v/>
      </c>
    </row>
    <row r="801" spans="1:28" s="227" customFormat="1" ht="20.25">
      <c r="A801" s="311"/>
      <c r="B801" s="303"/>
      <c r="C801" s="304"/>
      <c r="D801" s="305"/>
      <c r="E801" s="303"/>
      <c r="F801" s="303"/>
      <c r="G801" s="303"/>
      <c r="H801" s="306"/>
      <c r="I801" s="307"/>
      <c r="J801" s="307"/>
      <c r="K801" s="308"/>
      <c r="L801" s="308"/>
      <c r="M801" s="308"/>
      <c r="N801" s="308"/>
      <c r="O801" s="308"/>
      <c r="P801" s="309"/>
      <c r="Q801" s="310"/>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si="115"/>
        <v>0</v>
      </c>
      <c r="AB801" s="228" t="str">
        <f t="shared" si="116"/>
        <v/>
      </c>
    </row>
    <row r="802" spans="1:28" s="227" customFormat="1" ht="20.25">
      <c r="A802" s="311"/>
      <c r="B802" s="303"/>
      <c r="C802" s="304"/>
      <c r="D802" s="305"/>
      <c r="E802" s="303"/>
      <c r="F802" s="303"/>
      <c r="G802" s="303"/>
      <c r="H802" s="306"/>
      <c r="I802" s="307"/>
      <c r="J802" s="307"/>
      <c r="K802" s="308"/>
      <c r="L802" s="308"/>
      <c r="M802" s="308"/>
      <c r="N802" s="308"/>
      <c r="O802" s="308"/>
      <c r="P802" s="309"/>
      <c r="Q802" s="310"/>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si="115"/>
        <v>0</v>
      </c>
      <c r="AB802" s="228" t="str">
        <f t="shared" si="116"/>
        <v/>
      </c>
    </row>
    <row r="803" spans="1:28" s="227" customFormat="1" ht="20.25">
      <c r="A803" s="311"/>
      <c r="B803" s="303"/>
      <c r="C803" s="304"/>
      <c r="D803" s="305"/>
      <c r="E803" s="303"/>
      <c r="F803" s="303"/>
      <c r="G803" s="303"/>
      <c r="H803" s="306"/>
      <c r="I803" s="307"/>
      <c r="J803" s="307"/>
      <c r="K803" s="308"/>
      <c r="L803" s="308"/>
      <c r="M803" s="308"/>
      <c r="N803" s="308"/>
      <c r="O803" s="308"/>
      <c r="P803" s="309"/>
      <c r="Q803" s="310"/>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si="115"/>
        <v>0</v>
      </c>
      <c r="AB803" s="228" t="str">
        <f t="shared" si="116"/>
        <v/>
      </c>
    </row>
    <row r="804" spans="1:28" s="227" customFormat="1" ht="20.25">
      <c r="A804" s="311"/>
      <c r="B804" s="303"/>
      <c r="C804" s="304"/>
      <c r="D804" s="305"/>
      <c r="E804" s="303"/>
      <c r="F804" s="303"/>
      <c r="G804" s="303"/>
      <c r="H804" s="306"/>
      <c r="I804" s="307"/>
      <c r="J804" s="307"/>
      <c r="K804" s="308"/>
      <c r="L804" s="308"/>
      <c r="M804" s="308"/>
      <c r="N804" s="308"/>
      <c r="O804" s="308"/>
      <c r="P804" s="309"/>
      <c r="Q804" s="310"/>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si="115"/>
        <v>0</v>
      </c>
      <c r="AB804" s="228" t="str">
        <f t="shared" si="116"/>
        <v/>
      </c>
    </row>
    <row r="805" spans="1:28" s="227" customFormat="1" ht="20.25">
      <c r="A805" s="311"/>
      <c r="B805" s="303"/>
      <c r="C805" s="304"/>
      <c r="D805" s="305"/>
      <c r="E805" s="303"/>
      <c r="F805" s="303"/>
      <c r="G805" s="303"/>
      <c r="H805" s="306"/>
      <c r="I805" s="307"/>
      <c r="J805" s="307"/>
      <c r="K805" s="308"/>
      <c r="L805" s="308"/>
      <c r="M805" s="308"/>
      <c r="N805" s="308"/>
      <c r="O805" s="308"/>
      <c r="P805" s="309"/>
      <c r="Q805" s="310"/>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si="115"/>
        <v>0</v>
      </c>
      <c r="AB805" s="228" t="str">
        <f t="shared" si="116"/>
        <v/>
      </c>
    </row>
    <row r="806" spans="1:28" s="227" customFormat="1" ht="20.25">
      <c r="A806" s="311"/>
      <c r="B806" s="303"/>
      <c r="C806" s="304"/>
      <c r="D806" s="305"/>
      <c r="E806" s="303"/>
      <c r="F806" s="303"/>
      <c r="G806" s="303"/>
      <c r="H806" s="306"/>
      <c r="I806" s="307"/>
      <c r="J806" s="307"/>
      <c r="K806" s="308"/>
      <c r="L806" s="308"/>
      <c r="M806" s="308"/>
      <c r="N806" s="308"/>
      <c r="O806" s="308"/>
      <c r="P806" s="309"/>
      <c r="Q806" s="310"/>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si="115"/>
        <v>0</v>
      </c>
      <c r="AB806" s="228" t="str">
        <f t="shared" si="116"/>
        <v/>
      </c>
    </row>
    <row r="807" spans="1:28" s="227" customFormat="1" ht="20.25">
      <c r="A807" s="311"/>
      <c r="B807" s="303"/>
      <c r="C807" s="304"/>
      <c r="D807" s="305"/>
      <c r="E807" s="303"/>
      <c r="F807" s="303"/>
      <c r="G807" s="303"/>
      <c r="H807" s="306"/>
      <c r="I807" s="307"/>
      <c r="J807" s="307"/>
      <c r="K807" s="308"/>
      <c r="L807" s="308"/>
      <c r="M807" s="308"/>
      <c r="N807" s="308"/>
      <c r="O807" s="308"/>
      <c r="P807" s="309"/>
      <c r="Q807" s="310"/>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si="115"/>
        <v>0</v>
      </c>
      <c r="AB807" s="228" t="str">
        <f t="shared" si="116"/>
        <v/>
      </c>
    </row>
    <row r="808" spans="1:28" s="227" customFormat="1" ht="20.25">
      <c r="A808" s="311"/>
      <c r="B808" s="303"/>
      <c r="C808" s="304"/>
      <c r="D808" s="305"/>
      <c r="E808" s="303"/>
      <c r="F808" s="303"/>
      <c r="G808" s="303"/>
      <c r="H808" s="306"/>
      <c r="I808" s="307"/>
      <c r="J808" s="307"/>
      <c r="K808" s="308"/>
      <c r="L808" s="308"/>
      <c r="M808" s="308"/>
      <c r="N808" s="308"/>
      <c r="O808" s="308"/>
      <c r="P808" s="309"/>
      <c r="Q808" s="310"/>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si="115"/>
        <v>0</v>
      </c>
      <c r="AB808" s="228" t="str">
        <f t="shared" si="116"/>
        <v/>
      </c>
    </row>
    <row r="809" spans="1:28" s="227" customFormat="1" ht="20.25">
      <c r="A809" s="311"/>
      <c r="B809" s="303"/>
      <c r="C809" s="304"/>
      <c r="D809" s="305"/>
      <c r="E809" s="303"/>
      <c r="F809" s="303"/>
      <c r="G809" s="303"/>
      <c r="H809" s="306"/>
      <c r="I809" s="307"/>
      <c r="J809" s="307"/>
      <c r="K809" s="308"/>
      <c r="L809" s="308"/>
      <c r="M809" s="308"/>
      <c r="N809" s="308"/>
      <c r="O809" s="308"/>
      <c r="P809" s="309"/>
      <c r="Q809" s="310"/>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si="115"/>
        <v>0</v>
      </c>
      <c r="AB809" s="228" t="str">
        <f t="shared" si="116"/>
        <v/>
      </c>
    </row>
    <row r="810" spans="1:28" s="227" customFormat="1" ht="20.25">
      <c r="A810" s="311"/>
      <c r="B810" s="303"/>
      <c r="C810" s="304"/>
      <c r="D810" s="305"/>
      <c r="E810" s="303"/>
      <c r="F810" s="303"/>
      <c r="G810" s="303"/>
      <c r="H810" s="306"/>
      <c r="I810" s="307"/>
      <c r="J810" s="307"/>
      <c r="K810" s="308"/>
      <c r="L810" s="308"/>
      <c r="M810" s="308"/>
      <c r="N810" s="308"/>
      <c r="O810" s="308"/>
      <c r="P810" s="309"/>
      <c r="Q810" s="310"/>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si="115"/>
        <v>0</v>
      </c>
      <c r="AB810" s="228" t="str">
        <f t="shared" si="116"/>
        <v/>
      </c>
    </row>
    <row r="811" spans="1:28" s="227" customFormat="1" ht="20.25">
      <c r="A811" s="311"/>
      <c r="B811" s="303"/>
      <c r="C811" s="304"/>
      <c r="D811" s="305"/>
      <c r="E811" s="303"/>
      <c r="F811" s="303"/>
      <c r="G811" s="303"/>
      <c r="H811" s="306"/>
      <c r="I811" s="307"/>
      <c r="J811" s="307"/>
      <c r="K811" s="308"/>
      <c r="L811" s="308"/>
      <c r="M811" s="308"/>
      <c r="N811" s="308"/>
      <c r="O811" s="308"/>
      <c r="P811" s="309"/>
      <c r="Q811" s="310"/>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si="115"/>
        <v>0</v>
      </c>
      <c r="AB811" s="228" t="str">
        <f t="shared" si="116"/>
        <v/>
      </c>
    </row>
    <row r="812" spans="1:28" s="227" customFormat="1" ht="20.25">
      <c r="A812" s="311"/>
      <c r="B812" s="303"/>
      <c r="C812" s="304"/>
      <c r="D812" s="305"/>
      <c r="E812" s="303"/>
      <c r="F812" s="303"/>
      <c r="G812" s="303"/>
      <c r="H812" s="306"/>
      <c r="I812" s="307"/>
      <c r="J812" s="307"/>
      <c r="K812" s="308"/>
      <c r="L812" s="308"/>
      <c r="M812" s="308"/>
      <c r="N812" s="308"/>
      <c r="O812" s="308"/>
      <c r="P812" s="309"/>
      <c r="Q812" s="310"/>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si="115"/>
        <v>0</v>
      </c>
      <c r="AB812" s="228" t="str">
        <f t="shared" si="116"/>
        <v/>
      </c>
    </row>
    <row r="813" spans="1:28" s="227" customFormat="1" ht="20.25">
      <c r="A813" s="311"/>
      <c r="B813" s="303"/>
      <c r="C813" s="304"/>
      <c r="D813" s="305"/>
      <c r="E813" s="303"/>
      <c r="F813" s="303"/>
      <c r="G813" s="303"/>
      <c r="H813" s="306"/>
      <c r="I813" s="307"/>
      <c r="J813" s="307"/>
      <c r="K813" s="308"/>
      <c r="L813" s="308"/>
      <c r="M813" s="308"/>
      <c r="N813" s="308"/>
      <c r="O813" s="308"/>
      <c r="P813" s="309"/>
      <c r="Q813" s="310"/>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si="115"/>
        <v>0</v>
      </c>
      <c r="AB813" s="228" t="str">
        <f t="shared" si="116"/>
        <v/>
      </c>
    </row>
    <row r="814" spans="1:28" s="227" customFormat="1" ht="20.25">
      <c r="A814" s="311"/>
      <c r="B814" s="303"/>
      <c r="C814" s="304"/>
      <c r="D814" s="305"/>
      <c r="E814" s="303"/>
      <c r="F814" s="303"/>
      <c r="G814" s="303"/>
      <c r="H814" s="306"/>
      <c r="I814" s="307"/>
      <c r="J814" s="307"/>
      <c r="K814" s="308"/>
      <c r="L814" s="308"/>
      <c r="M814" s="308"/>
      <c r="N814" s="308"/>
      <c r="O814" s="308"/>
      <c r="P814" s="309"/>
      <c r="Q814" s="310"/>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si="115"/>
        <v>0</v>
      </c>
      <c r="AB814" s="228" t="str">
        <f t="shared" si="116"/>
        <v/>
      </c>
    </row>
    <row r="815" spans="1:28" s="227" customFormat="1" ht="20.25">
      <c r="A815" s="311"/>
      <c r="B815" s="303"/>
      <c r="C815" s="304"/>
      <c r="D815" s="305"/>
      <c r="E815" s="303"/>
      <c r="F815" s="303"/>
      <c r="G815" s="303"/>
      <c r="H815" s="306"/>
      <c r="I815" s="307"/>
      <c r="J815" s="307"/>
      <c r="K815" s="308"/>
      <c r="L815" s="308"/>
      <c r="M815" s="308"/>
      <c r="N815" s="308"/>
      <c r="O815" s="308"/>
      <c r="P815" s="309"/>
      <c r="Q815" s="310"/>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si="115"/>
        <v>0</v>
      </c>
      <c r="AB815" s="228" t="str">
        <f t="shared" si="116"/>
        <v/>
      </c>
    </row>
    <row r="816" spans="1:28" s="227" customFormat="1" ht="20.25">
      <c r="A816" s="311"/>
      <c r="B816" s="303"/>
      <c r="C816" s="304"/>
      <c r="D816" s="305"/>
      <c r="E816" s="303"/>
      <c r="F816" s="303"/>
      <c r="G816" s="303"/>
      <c r="H816" s="306"/>
      <c r="I816" s="307"/>
      <c r="J816" s="307"/>
      <c r="K816" s="308"/>
      <c r="L816" s="308"/>
      <c r="M816" s="308"/>
      <c r="N816" s="308"/>
      <c r="O816" s="308"/>
      <c r="P816" s="309"/>
      <c r="Q816" s="310"/>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si="115"/>
        <v>0</v>
      </c>
      <c r="AB816" s="228" t="str">
        <f t="shared" si="116"/>
        <v/>
      </c>
    </row>
    <row r="817" spans="1:28" s="227" customFormat="1" ht="20.25">
      <c r="A817" s="311"/>
      <c r="B817" s="303"/>
      <c r="C817" s="304"/>
      <c r="D817" s="305"/>
      <c r="E817" s="303"/>
      <c r="F817" s="303"/>
      <c r="G817" s="303"/>
      <c r="H817" s="306"/>
      <c r="I817" s="307"/>
      <c r="J817" s="307"/>
      <c r="K817" s="308"/>
      <c r="L817" s="308"/>
      <c r="M817" s="308"/>
      <c r="N817" s="308"/>
      <c r="O817" s="308"/>
      <c r="P817" s="309"/>
      <c r="Q817" s="310"/>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si="115"/>
        <v>0</v>
      </c>
      <c r="AB817" s="228" t="str">
        <f t="shared" si="116"/>
        <v/>
      </c>
    </row>
    <row r="818" spans="1:28" s="227" customFormat="1" ht="20.25">
      <c r="A818" s="311"/>
      <c r="B818" s="303"/>
      <c r="C818" s="304"/>
      <c r="D818" s="305"/>
      <c r="E818" s="303"/>
      <c r="F818" s="303"/>
      <c r="G818" s="303"/>
      <c r="H818" s="306"/>
      <c r="I818" s="307"/>
      <c r="J818" s="307"/>
      <c r="K818" s="308"/>
      <c r="L818" s="308"/>
      <c r="M818" s="308"/>
      <c r="N818" s="308"/>
      <c r="O818" s="308"/>
      <c r="P818" s="309"/>
      <c r="Q818" s="310"/>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si="115"/>
        <v>0</v>
      </c>
      <c r="AB818" s="228" t="str">
        <f t="shared" si="116"/>
        <v/>
      </c>
    </row>
    <row r="819" spans="1:28" s="227" customFormat="1" ht="20.25">
      <c r="A819" s="311"/>
      <c r="B819" s="303"/>
      <c r="C819" s="304"/>
      <c r="D819" s="305"/>
      <c r="E819" s="303"/>
      <c r="F819" s="303"/>
      <c r="G819" s="303"/>
      <c r="H819" s="306"/>
      <c r="I819" s="307"/>
      <c r="J819" s="307"/>
      <c r="K819" s="308"/>
      <c r="L819" s="308"/>
      <c r="M819" s="308"/>
      <c r="N819" s="308"/>
      <c r="O819" s="308"/>
      <c r="P819" s="309"/>
      <c r="Q819" s="310"/>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si="115"/>
        <v>0</v>
      </c>
      <c r="AB819" s="228" t="str">
        <f t="shared" si="116"/>
        <v/>
      </c>
    </row>
    <row r="820" spans="1:28" s="227" customFormat="1" ht="20.25">
      <c r="A820" s="311"/>
      <c r="B820" s="303"/>
      <c r="C820" s="304"/>
      <c r="D820" s="305"/>
      <c r="E820" s="303"/>
      <c r="F820" s="303"/>
      <c r="G820" s="303"/>
      <c r="H820" s="306"/>
      <c r="I820" s="307"/>
      <c r="J820" s="307"/>
      <c r="K820" s="308"/>
      <c r="L820" s="308"/>
      <c r="M820" s="308"/>
      <c r="N820" s="308"/>
      <c r="O820" s="308"/>
      <c r="P820" s="309"/>
      <c r="Q820" s="310"/>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si="115"/>
        <v>0</v>
      </c>
      <c r="AB820" s="228" t="str">
        <f t="shared" si="116"/>
        <v/>
      </c>
    </row>
    <row r="821" spans="1:28" s="227" customFormat="1" ht="20.25">
      <c r="A821" s="311"/>
      <c r="B821" s="303"/>
      <c r="C821" s="304"/>
      <c r="D821" s="305"/>
      <c r="E821" s="303"/>
      <c r="F821" s="303"/>
      <c r="G821" s="303"/>
      <c r="H821" s="306"/>
      <c r="I821" s="307"/>
      <c r="J821" s="307"/>
      <c r="K821" s="308"/>
      <c r="L821" s="308"/>
      <c r="M821" s="308"/>
      <c r="N821" s="308"/>
      <c r="O821" s="308"/>
      <c r="P821" s="309"/>
      <c r="Q821" s="310"/>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si="115"/>
        <v>0</v>
      </c>
      <c r="AB821" s="228" t="str">
        <f t="shared" si="116"/>
        <v/>
      </c>
    </row>
    <row r="822" spans="1:28" s="227" customFormat="1" ht="20.25">
      <c r="A822" s="311"/>
      <c r="B822" s="303"/>
      <c r="C822" s="304"/>
      <c r="D822" s="305"/>
      <c r="E822" s="303"/>
      <c r="F822" s="303"/>
      <c r="G822" s="303"/>
      <c r="H822" s="306"/>
      <c r="I822" s="307"/>
      <c r="J822" s="307"/>
      <c r="K822" s="308"/>
      <c r="L822" s="308"/>
      <c r="M822" s="308"/>
      <c r="N822" s="308"/>
      <c r="O822" s="308"/>
      <c r="P822" s="309"/>
      <c r="Q822" s="310"/>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si="115"/>
        <v>0</v>
      </c>
      <c r="AB822" s="228" t="str">
        <f t="shared" si="116"/>
        <v/>
      </c>
    </row>
    <row r="823" spans="1:28" s="227" customFormat="1" ht="20.25">
      <c r="A823" s="311"/>
      <c r="B823" s="303"/>
      <c r="C823" s="304"/>
      <c r="D823" s="305"/>
      <c r="E823" s="303"/>
      <c r="F823" s="303"/>
      <c r="G823" s="303"/>
      <c r="H823" s="306"/>
      <c r="I823" s="307"/>
      <c r="J823" s="307"/>
      <c r="K823" s="308"/>
      <c r="L823" s="308"/>
      <c r="M823" s="308"/>
      <c r="N823" s="308"/>
      <c r="O823" s="308"/>
      <c r="P823" s="309"/>
      <c r="Q823" s="310"/>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si="115"/>
        <v>0</v>
      </c>
      <c r="AB823" s="228" t="str">
        <f t="shared" si="116"/>
        <v/>
      </c>
    </row>
    <row r="824" spans="1:28" s="227" customFormat="1" ht="20.25">
      <c r="A824" s="311"/>
      <c r="B824" s="303"/>
      <c r="C824" s="304"/>
      <c r="D824" s="305"/>
      <c r="E824" s="303"/>
      <c r="F824" s="303"/>
      <c r="G824" s="303"/>
      <c r="H824" s="306"/>
      <c r="I824" s="307"/>
      <c r="J824" s="307"/>
      <c r="K824" s="308"/>
      <c r="L824" s="308"/>
      <c r="M824" s="308"/>
      <c r="N824" s="308"/>
      <c r="O824" s="308"/>
      <c r="P824" s="309"/>
      <c r="Q824" s="310"/>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si="115"/>
        <v>0</v>
      </c>
      <c r="AB824" s="228" t="str">
        <f t="shared" si="116"/>
        <v/>
      </c>
    </row>
    <row r="825" spans="1:28" s="227" customFormat="1" ht="20.25">
      <c r="A825" s="311"/>
      <c r="B825" s="303"/>
      <c r="C825" s="304"/>
      <c r="D825" s="305"/>
      <c r="E825" s="303"/>
      <c r="F825" s="303"/>
      <c r="G825" s="303"/>
      <c r="H825" s="306"/>
      <c r="I825" s="307"/>
      <c r="J825" s="307"/>
      <c r="K825" s="308"/>
      <c r="L825" s="308"/>
      <c r="M825" s="308"/>
      <c r="N825" s="308"/>
      <c r="O825" s="308"/>
      <c r="P825" s="309"/>
      <c r="Q825" s="310"/>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si="115"/>
        <v>0</v>
      </c>
      <c r="AB825" s="228" t="str">
        <f t="shared" si="116"/>
        <v/>
      </c>
    </row>
    <row r="826" spans="1:28" s="227" customFormat="1" ht="20.25">
      <c r="A826" s="311"/>
      <c r="B826" s="303"/>
      <c r="C826" s="304"/>
      <c r="D826" s="305"/>
      <c r="E826" s="303"/>
      <c r="F826" s="303"/>
      <c r="G826" s="303"/>
      <c r="H826" s="306"/>
      <c r="I826" s="307"/>
      <c r="J826" s="307"/>
      <c r="K826" s="308"/>
      <c r="L826" s="308"/>
      <c r="M826" s="308"/>
      <c r="N826" s="308"/>
      <c r="O826" s="308"/>
      <c r="P826" s="309"/>
      <c r="Q826" s="310"/>
      <c r="R826" s="182" t="str">
        <f ca="1">IF(ISERROR($V826),"",OFFSET('Smelter Look-up'!$C$4,$V826-4,0)&amp;"")</f>
        <v/>
      </c>
      <c r="S826" s="181" t="str">
        <f t="shared" ca="1" si="11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si="115"/>
        <v>0</v>
      </c>
      <c r="AB826" s="228" t="str">
        <f t="shared" si="116"/>
        <v/>
      </c>
    </row>
    <row r="827" spans="1:28" s="227" customFormat="1" ht="20.25">
      <c r="A827" s="311"/>
      <c r="B827" s="303"/>
      <c r="C827" s="304"/>
      <c r="D827" s="305"/>
      <c r="E827" s="303"/>
      <c r="F827" s="303"/>
      <c r="G827" s="303"/>
      <c r="H827" s="306"/>
      <c r="I827" s="307"/>
      <c r="J827" s="307"/>
      <c r="K827" s="308"/>
      <c r="L827" s="308"/>
      <c r="M827" s="308"/>
      <c r="N827" s="308"/>
      <c r="O827" s="308"/>
      <c r="P827" s="309"/>
      <c r="Q827" s="310"/>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si="118">IF(AND(C827="Smelter not listed",OR(LEN(D827)=0,LEN(E827)=0)),1,0)</f>
        <v>0</v>
      </c>
      <c r="AB827" s="228" t="str">
        <f t="shared" ref="AB827" si="119">B827&amp;C827</f>
        <v/>
      </c>
    </row>
    <row r="828" spans="1:28" s="227" customFormat="1" ht="20.25">
      <c r="A828" s="311"/>
      <c r="B828" s="303"/>
      <c r="C828" s="304"/>
      <c r="D828" s="305"/>
      <c r="E828" s="303"/>
      <c r="F828" s="303"/>
      <c r="G828" s="303"/>
      <c r="H828" s="306"/>
      <c r="I828" s="307"/>
      <c r="J828" s="307"/>
      <c r="K828" s="308"/>
      <c r="L828" s="308"/>
      <c r="M828" s="308"/>
      <c r="N828" s="308"/>
      <c r="O828" s="308"/>
      <c r="P828" s="309"/>
      <c r="Q828" s="310"/>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si="121">IF(AND(C828="Smelter not listed",OR(LEN(D828)=0,LEN(E828)=0)),1,0)</f>
        <v>0</v>
      </c>
      <c r="AB828" s="228" t="str">
        <f t="shared" ref="AB828:AB859" si="122">B828&amp;C828</f>
        <v/>
      </c>
    </row>
    <row r="829" spans="1:28" s="227" customFormat="1" ht="20.25">
      <c r="A829" s="311"/>
      <c r="B829" s="303"/>
      <c r="C829" s="304"/>
      <c r="D829" s="305"/>
      <c r="E829" s="303"/>
      <c r="F829" s="303"/>
      <c r="G829" s="303"/>
      <c r="H829" s="306"/>
      <c r="I829" s="307"/>
      <c r="J829" s="307"/>
      <c r="K829" s="308"/>
      <c r="L829" s="308"/>
      <c r="M829" s="308"/>
      <c r="N829" s="308"/>
      <c r="O829" s="308"/>
      <c r="P829" s="309"/>
      <c r="Q829" s="310"/>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si="121"/>
        <v>0</v>
      </c>
      <c r="AB829" s="228" t="str">
        <f t="shared" si="122"/>
        <v/>
      </c>
    </row>
    <row r="830" spans="1:28" s="227" customFormat="1" ht="20.25">
      <c r="A830" s="311"/>
      <c r="B830" s="303"/>
      <c r="C830" s="304"/>
      <c r="D830" s="305"/>
      <c r="E830" s="303"/>
      <c r="F830" s="303"/>
      <c r="G830" s="303"/>
      <c r="H830" s="306"/>
      <c r="I830" s="307"/>
      <c r="J830" s="307"/>
      <c r="K830" s="308"/>
      <c r="L830" s="308"/>
      <c r="M830" s="308"/>
      <c r="N830" s="308"/>
      <c r="O830" s="308"/>
      <c r="P830" s="309"/>
      <c r="Q830" s="310"/>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si="121"/>
        <v>0</v>
      </c>
      <c r="AB830" s="228" t="str">
        <f t="shared" si="122"/>
        <v/>
      </c>
    </row>
    <row r="831" spans="1:28" s="227" customFormat="1" ht="20.25">
      <c r="A831" s="311"/>
      <c r="B831" s="303"/>
      <c r="C831" s="304"/>
      <c r="D831" s="305"/>
      <c r="E831" s="303"/>
      <c r="F831" s="303"/>
      <c r="G831" s="303"/>
      <c r="H831" s="306"/>
      <c r="I831" s="307"/>
      <c r="J831" s="307"/>
      <c r="K831" s="308"/>
      <c r="L831" s="308"/>
      <c r="M831" s="308"/>
      <c r="N831" s="308"/>
      <c r="O831" s="308"/>
      <c r="P831" s="309"/>
      <c r="Q831" s="310"/>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si="121"/>
        <v>0</v>
      </c>
      <c r="AB831" s="228" t="str">
        <f t="shared" si="122"/>
        <v/>
      </c>
    </row>
    <row r="832" spans="1:28" s="227" customFormat="1" ht="20.25">
      <c r="A832" s="311"/>
      <c r="B832" s="303"/>
      <c r="C832" s="304"/>
      <c r="D832" s="305"/>
      <c r="E832" s="303"/>
      <c r="F832" s="303"/>
      <c r="G832" s="303"/>
      <c r="H832" s="306"/>
      <c r="I832" s="307"/>
      <c r="J832" s="307"/>
      <c r="K832" s="308"/>
      <c r="L832" s="308"/>
      <c r="M832" s="308"/>
      <c r="N832" s="308"/>
      <c r="O832" s="308"/>
      <c r="P832" s="309"/>
      <c r="Q832" s="310"/>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si="121"/>
        <v>0</v>
      </c>
      <c r="AB832" s="228" t="str">
        <f t="shared" si="122"/>
        <v/>
      </c>
    </row>
    <row r="833" spans="1:28" s="227" customFormat="1" ht="20.25">
      <c r="A833" s="311"/>
      <c r="B833" s="303"/>
      <c r="C833" s="304"/>
      <c r="D833" s="305"/>
      <c r="E833" s="303"/>
      <c r="F833" s="303"/>
      <c r="G833" s="303"/>
      <c r="H833" s="306"/>
      <c r="I833" s="307"/>
      <c r="J833" s="307"/>
      <c r="K833" s="308"/>
      <c r="L833" s="308"/>
      <c r="M833" s="308"/>
      <c r="N833" s="308"/>
      <c r="O833" s="308"/>
      <c r="P833" s="309"/>
      <c r="Q833" s="310"/>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si="121"/>
        <v>0</v>
      </c>
      <c r="AB833" s="228" t="str">
        <f t="shared" si="122"/>
        <v/>
      </c>
    </row>
    <row r="834" spans="1:28" s="227" customFormat="1" ht="20.25">
      <c r="A834" s="311"/>
      <c r="B834" s="303"/>
      <c r="C834" s="304"/>
      <c r="D834" s="305"/>
      <c r="E834" s="303"/>
      <c r="F834" s="303"/>
      <c r="G834" s="303"/>
      <c r="H834" s="306"/>
      <c r="I834" s="307"/>
      <c r="J834" s="307"/>
      <c r="K834" s="308"/>
      <c r="L834" s="308"/>
      <c r="M834" s="308"/>
      <c r="N834" s="308"/>
      <c r="O834" s="308"/>
      <c r="P834" s="309"/>
      <c r="Q834" s="310"/>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si="121"/>
        <v>0</v>
      </c>
      <c r="AB834" s="228" t="str">
        <f t="shared" si="122"/>
        <v/>
      </c>
    </row>
    <row r="835" spans="1:28" s="227" customFormat="1" ht="20.25">
      <c r="A835" s="311"/>
      <c r="B835" s="303"/>
      <c r="C835" s="304"/>
      <c r="D835" s="305"/>
      <c r="E835" s="303"/>
      <c r="F835" s="303"/>
      <c r="G835" s="303"/>
      <c r="H835" s="306"/>
      <c r="I835" s="307"/>
      <c r="J835" s="307"/>
      <c r="K835" s="308"/>
      <c r="L835" s="308"/>
      <c r="M835" s="308"/>
      <c r="N835" s="308"/>
      <c r="O835" s="308"/>
      <c r="P835" s="309"/>
      <c r="Q835" s="310"/>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si="121"/>
        <v>0</v>
      </c>
      <c r="AB835" s="228" t="str">
        <f t="shared" si="122"/>
        <v/>
      </c>
    </row>
    <row r="836" spans="1:28" s="227" customFormat="1" ht="20.25">
      <c r="A836" s="311"/>
      <c r="B836" s="303"/>
      <c r="C836" s="304"/>
      <c r="D836" s="305"/>
      <c r="E836" s="303"/>
      <c r="F836" s="303"/>
      <c r="G836" s="303"/>
      <c r="H836" s="306"/>
      <c r="I836" s="307"/>
      <c r="J836" s="307"/>
      <c r="K836" s="308"/>
      <c r="L836" s="308"/>
      <c r="M836" s="308"/>
      <c r="N836" s="308"/>
      <c r="O836" s="308"/>
      <c r="P836" s="309"/>
      <c r="Q836" s="310"/>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si="121"/>
        <v>0</v>
      </c>
      <c r="AB836" s="228" t="str">
        <f t="shared" si="122"/>
        <v/>
      </c>
    </row>
    <row r="837" spans="1:28" s="227" customFormat="1" ht="20.25">
      <c r="A837" s="311"/>
      <c r="B837" s="303"/>
      <c r="C837" s="304"/>
      <c r="D837" s="305"/>
      <c r="E837" s="303"/>
      <c r="F837" s="303"/>
      <c r="G837" s="303"/>
      <c r="H837" s="306"/>
      <c r="I837" s="307"/>
      <c r="J837" s="307"/>
      <c r="K837" s="308"/>
      <c r="L837" s="308"/>
      <c r="M837" s="308"/>
      <c r="N837" s="308"/>
      <c r="O837" s="308"/>
      <c r="P837" s="309"/>
      <c r="Q837" s="310"/>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si="121"/>
        <v>0</v>
      </c>
      <c r="AB837" s="228" t="str">
        <f t="shared" si="122"/>
        <v/>
      </c>
    </row>
    <row r="838" spans="1:28" s="227" customFormat="1" ht="20.25">
      <c r="A838" s="311"/>
      <c r="B838" s="303"/>
      <c r="C838" s="304"/>
      <c r="D838" s="305"/>
      <c r="E838" s="303"/>
      <c r="F838" s="303"/>
      <c r="G838" s="303"/>
      <c r="H838" s="306"/>
      <c r="I838" s="307"/>
      <c r="J838" s="307"/>
      <c r="K838" s="308"/>
      <c r="L838" s="308"/>
      <c r="M838" s="308"/>
      <c r="N838" s="308"/>
      <c r="O838" s="308"/>
      <c r="P838" s="309"/>
      <c r="Q838" s="310"/>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si="121"/>
        <v>0</v>
      </c>
      <c r="AB838" s="228" t="str">
        <f t="shared" si="122"/>
        <v/>
      </c>
    </row>
    <row r="839" spans="1:28" s="227" customFormat="1" ht="20.25">
      <c r="A839" s="311"/>
      <c r="B839" s="303"/>
      <c r="C839" s="304"/>
      <c r="D839" s="305"/>
      <c r="E839" s="303"/>
      <c r="F839" s="303"/>
      <c r="G839" s="303"/>
      <c r="H839" s="306"/>
      <c r="I839" s="307"/>
      <c r="J839" s="307"/>
      <c r="K839" s="308"/>
      <c r="L839" s="308"/>
      <c r="M839" s="308"/>
      <c r="N839" s="308"/>
      <c r="O839" s="308"/>
      <c r="P839" s="309"/>
      <c r="Q839" s="310"/>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si="121"/>
        <v>0</v>
      </c>
      <c r="AB839" s="228" t="str">
        <f t="shared" si="122"/>
        <v/>
      </c>
    </row>
    <row r="840" spans="1:28" s="227" customFormat="1" ht="20.25">
      <c r="A840" s="311"/>
      <c r="B840" s="303"/>
      <c r="C840" s="304"/>
      <c r="D840" s="305"/>
      <c r="E840" s="303"/>
      <c r="F840" s="303"/>
      <c r="G840" s="303"/>
      <c r="H840" s="306"/>
      <c r="I840" s="307"/>
      <c r="J840" s="307"/>
      <c r="K840" s="308"/>
      <c r="L840" s="308"/>
      <c r="M840" s="308"/>
      <c r="N840" s="308"/>
      <c r="O840" s="308"/>
      <c r="P840" s="309"/>
      <c r="Q840" s="310"/>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si="121"/>
        <v>0</v>
      </c>
      <c r="AB840" s="228" t="str">
        <f t="shared" si="122"/>
        <v/>
      </c>
    </row>
    <row r="841" spans="1:28" s="227" customFormat="1" ht="20.25">
      <c r="A841" s="311"/>
      <c r="B841" s="303"/>
      <c r="C841" s="304"/>
      <c r="D841" s="305"/>
      <c r="E841" s="303"/>
      <c r="F841" s="303"/>
      <c r="G841" s="303"/>
      <c r="H841" s="306"/>
      <c r="I841" s="307"/>
      <c r="J841" s="307"/>
      <c r="K841" s="308"/>
      <c r="L841" s="308"/>
      <c r="M841" s="308"/>
      <c r="N841" s="308"/>
      <c r="O841" s="308"/>
      <c r="P841" s="309"/>
      <c r="Q841" s="310"/>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si="121"/>
        <v>0</v>
      </c>
      <c r="AB841" s="228" t="str">
        <f t="shared" si="122"/>
        <v/>
      </c>
    </row>
    <row r="842" spans="1:28" s="227" customFormat="1" ht="20.25">
      <c r="A842" s="311"/>
      <c r="B842" s="303"/>
      <c r="C842" s="304"/>
      <c r="D842" s="305"/>
      <c r="E842" s="303"/>
      <c r="F842" s="303"/>
      <c r="G842" s="303"/>
      <c r="H842" s="306"/>
      <c r="I842" s="307"/>
      <c r="J842" s="307"/>
      <c r="K842" s="308"/>
      <c r="L842" s="308"/>
      <c r="M842" s="308"/>
      <c r="N842" s="308"/>
      <c r="O842" s="308"/>
      <c r="P842" s="309"/>
      <c r="Q842" s="310"/>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si="121"/>
        <v>0</v>
      </c>
      <c r="AB842" s="228" t="str">
        <f t="shared" si="122"/>
        <v/>
      </c>
    </row>
    <row r="843" spans="1:28" s="227" customFormat="1" ht="20.25">
      <c r="A843" s="311"/>
      <c r="B843" s="303"/>
      <c r="C843" s="304"/>
      <c r="D843" s="305"/>
      <c r="E843" s="303"/>
      <c r="F843" s="303"/>
      <c r="G843" s="303"/>
      <c r="H843" s="306"/>
      <c r="I843" s="307"/>
      <c r="J843" s="307"/>
      <c r="K843" s="308"/>
      <c r="L843" s="308"/>
      <c r="M843" s="308"/>
      <c r="N843" s="308"/>
      <c r="O843" s="308"/>
      <c r="P843" s="309"/>
      <c r="Q843" s="310"/>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si="121"/>
        <v>0</v>
      </c>
      <c r="AB843" s="228" t="str">
        <f t="shared" si="122"/>
        <v/>
      </c>
    </row>
    <row r="844" spans="1:28" s="227" customFormat="1" ht="20.25">
      <c r="A844" s="311"/>
      <c r="B844" s="303"/>
      <c r="C844" s="304"/>
      <c r="D844" s="305"/>
      <c r="E844" s="303"/>
      <c r="F844" s="303"/>
      <c r="G844" s="303"/>
      <c r="H844" s="306"/>
      <c r="I844" s="307"/>
      <c r="J844" s="307"/>
      <c r="K844" s="308"/>
      <c r="L844" s="308"/>
      <c r="M844" s="308"/>
      <c r="N844" s="308"/>
      <c r="O844" s="308"/>
      <c r="P844" s="309"/>
      <c r="Q844" s="310"/>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si="121"/>
        <v>0</v>
      </c>
      <c r="AB844" s="228" t="str">
        <f t="shared" si="122"/>
        <v/>
      </c>
    </row>
    <row r="845" spans="1:28" s="227" customFormat="1" ht="20.25">
      <c r="A845" s="311"/>
      <c r="B845" s="303"/>
      <c r="C845" s="304"/>
      <c r="D845" s="305"/>
      <c r="E845" s="303"/>
      <c r="F845" s="303"/>
      <c r="G845" s="303"/>
      <c r="H845" s="306"/>
      <c r="I845" s="307"/>
      <c r="J845" s="307"/>
      <c r="K845" s="308"/>
      <c r="L845" s="308"/>
      <c r="M845" s="308"/>
      <c r="N845" s="308"/>
      <c r="O845" s="308"/>
      <c r="P845" s="309"/>
      <c r="Q845" s="310"/>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si="121"/>
        <v>0</v>
      </c>
      <c r="AB845" s="228" t="str">
        <f t="shared" si="122"/>
        <v/>
      </c>
    </row>
    <row r="846" spans="1:28" s="227" customFormat="1" ht="20.25">
      <c r="A846" s="311"/>
      <c r="B846" s="303"/>
      <c r="C846" s="304"/>
      <c r="D846" s="305"/>
      <c r="E846" s="303"/>
      <c r="F846" s="303"/>
      <c r="G846" s="303"/>
      <c r="H846" s="306"/>
      <c r="I846" s="307"/>
      <c r="J846" s="307"/>
      <c r="K846" s="308"/>
      <c r="L846" s="308"/>
      <c r="M846" s="308"/>
      <c r="N846" s="308"/>
      <c r="O846" s="308"/>
      <c r="P846" s="309"/>
      <c r="Q846" s="310"/>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si="121"/>
        <v>0</v>
      </c>
      <c r="AB846" s="228" t="str">
        <f t="shared" si="122"/>
        <v/>
      </c>
    </row>
    <row r="847" spans="1:28" s="227" customFormat="1" ht="20.25">
      <c r="A847" s="311"/>
      <c r="B847" s="303"/>
      <c r="C847" s="304"/>
      <c r="D847" s="305"/>
      <c r="E847" s="303"/>
      <c r="F847" s="303"/>
      <c r="G847" s="303"/>
      <c r="H847" s="306"/>
      <c r="I847" s="307"/>
      <c r="J847" s="307"/>
      <c r="K847" s="308"/>
      <c r="L847" s="308"/>
      <c r="M847" s="308"/>
      <c r="N847" s="308"/>
      <c r="O847" s="308"/>
      <c r="P847" s="309"/>
      <c r="Q847" s="310"/>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si="121"/>
        <v>0</v>
      </c>
      <c r="AB847" s="228" t="str">
        <f t="shared" si="122"/>
        <v/>
      </c>
    </row>
    <row r="848" spans="1:28" s="227" customFormat="1" ht="20.25">
      <c r="A848" s="311"/>
      <c r="B848" s="303"/>
      <c r="C848" s="304"/>
      <c r="D848" s="305"/>
      <c r="E848" s="303"/>
      <c r="F848" s="303"/>
      <c r="G848" s="303"/>
      <c r="H848" s="306"/>
      <c r="I848" s="307"/>
      <c r="J848" s="307"/>
      <c r="K848" s="308"/>
      <c r="L848" s="308"/>
      <c r="M848" s="308"/>
      <c r="N848" s="308"/>
      <c r="O848" s="308"/>
      <c r="P848" s="309"/>
      <c r="Q848" s="310"/>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si="121"/>
        <v>0</v>
      </c>
      <c r="AB848" s="228" t="str">
        <f t="shared" si="122"/>
        <v/>
      </c>
    </row>
    <row r="849" spans="1:28" s="227" customFormat="1" ht="20.25">
      <c r="A849" s="311"/>
      <c r="B849" s="303"/>
      <c r="C849" s="304"/>
      <c r="D849" s="305"/>
      <c r="E849" s="303"/>
      <c r="F849" s="303"/>
      <c r="G849" s="303"/>
      <c r="H849" s="306"/>
      <c r="I849" s="307"/>
      <c r="J849" s="307"/>
      <c r="K849" s="308"/>
      <c r="L849" s="308"/>
      <c r="M849" s="308"/>
      <c r="N849" s="308"/>
      <c r="O849" s="308"/>
      <c r="P849" s="309"/>
      <c r="Q849" s="310"/>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si="121"/>
        <v>0</v>
      </c>
      <c r="AB849" s="228" t="str">
        <f t="shared" si="122"/>
        <v/>
      </c>
    </row>
    <row r="850" spans="1:28" s="227" customFormat="1" ht="20.25">
      <c r="A850" s="311"/>
      <c r="B850" s="303"/>
      <c r="C850" s="304"/>
      <c r="D850" s="305"/>
      <c r="E850" s="303"/>
      <c r="F850" s="303"/>
      <c r="G850" s="303"/>
      <c r="H850" s="306"/>
      <c r="I850" s="307"/>
      <c r="J850" s="307"/>
      <c r="K850" s="308"/>
      <c r="L850" s="308"/>
      <c r="M850" s="308"/>
      <c r="N850" s="308"/>
      <c r="O850" s="308"/>
      <c r="P850" s="309"/>
      <c r="Q850" s="310"/>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si="121"/>
        <v>0</v>
      </c>
      <c r="AB850" s="228" t="str">
        <f t="shared" si="122"/>
        <v/>
      </c>
    </row>
    <row r="851" spans="1:28" s="227" customFormat="1" ht="20.25">
      <c r="A851" s="311"/>
      <c r="B851" s="303"/>
      <c r="C851" s="304"/>
      <c r="D851" s="305"/>
      <c r="E851" s="303"/>
      <c r="F851" s="303"/>
      <c r="G851" s="303"/>
      <c r="H851" s="306"/>
      <c r="I851" s="307"/>
      <c r="J851" s="307"/>
      <c r="K851" s="308"/>
      <c r="L851" s="308"/>
      <c r="M851" s="308"/>
      <c r="N851" s="308"/>
      <c r="O851" s="308"/>
      <c r="P851" s="309"/>
      <c r="Q851" s="310"/>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si="121"/>
        <v>0</v>
      </c>
      <c r="AB851" s="228" t="str">
        <f t="shared" si="122"/>
        <v/>
      </c>
    </row>
    <row r="852" spans="1:28" s="227" customFormat="1" ht="20.25">
      <c r="A852" s="311"/>
      <c r="B852" s="303"/>
      <c r="C852" s="304"/>
      <c r="D852" s="305"/>
      <c r="E852" s="303"/>
      <c r="F852" s="303"/>
      <c r="G852" s="303"/>
      <c r="H852" s="306"/>
      <c r="I852" s="307"/>
      <c r="J852" s="307"/>
      <c r="K852" s="308"/>
      <c r="L852" s="308"/>
      <c r="M852" s="308"/>
      <c r="N852" s="308"/>
      <c r="O852" s="308"/>
      <c r="P852" s="309"/>
      <c r="Q852" s="310"/>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si="121"/>
        <v>0</v>
      </c>
      <c r="AB852" s="228" t="str">
        <f t="shared" si="122"/>
        <v/>
      </c>
    </row>
    <row r="853" spans="1:28" s="227" customFormat="1" ht="20.25">
      <c r="A853" s="311"/>
      <c r="B853" s="303"/>
      <c r="C853" s="304"/>
      <c r="D853" s="305"/>
      <c r="E853" s="303"/>
      <c r="F853" s="303"/>
      <c r="G853" s="303"/>
      <c r="H853" s="306"/>
      <c r="I853" s="307"/>
      <c r="J853" s="307"/>
      <c r="K853" s="308"/>
      <c r="L853" s="308"/>
      <c r="M853" s="308"/>
      <c r="N853" s="308"/>
      <c r="O853" s="308"/>
      <c r="P853" s="309"/>
      <c r="Q853" s="310"/>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si="121"/>
        <v>0</v>
      </c>
      <c r="AB853" s="228" t="str">
        <f t="shared" si="122"/>
        <v/>
      </c>
    </row>
    <row r="854" spans="1:28" s="227" customFormat="1" ht="20.25">
      <c r="A854" s="311"/>
      <c r="B854" s="303"/>
      <c r="C854" s="304"/>
      <c r="D854" s="305"/>
      <c r="E854" s="303"/>
      <c r="F854" s="303"/>
      <c r="G854" s="303"/>
      <c r="H854" s="306"/>
      <c r="I854" s="307"/>
      <c r="J854" s="307"/>
      <c r="K854" s="308"/>
      <c r="L854" s="308"/>
      <c r="M854" s="308"/>
      <c r="N854" s="308"/>
      <c r="O854" s="308"/>
      <c r="P854" s="309"/>
      <c r="Q854" s="310"/>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si="121"/>
        <v>0</v>
      </c>
      <c r="AB854" s="228" t="str">
        <f t="shared" si="122"/>
        <v/>
      </c>
    </row>
    <row r="855" spans="1:28" s="227" customFormat="1" ht="20.25">
      <c r="A855" s="311"/>
      <c r="B855" s="303"/>
      <c r="C855" s="304"/>
      <c r="D855" s="305"/>
      <c r="E855" s="303"/>
      <c r="F855" s="303"/>
      <c r="G855" s="303"/>
      <c r="H855" s="306"/>
      <c r="I855" s="307"/>
      <c r="J855" s="307"/>
      <c r="K855" s="308"/>
      <c r="L855" s="308"/>
      <c r="M855" s="308"/>
      <c r="N855" s="308"/>
      <c r="O855" s="308"/>
      <c r="P855" s="309"/>
      <c r="Q855" s="310"/>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si="121"/>
        <v>0</v>
      </c>
      <c r="AB855" s="228" t="str">
        <f t="shared" si="122"/>
        <v/>
      </c>
    </row>
    <row r="856" spans="1:28" s="227" customFormat="1" ht="20.25">
      <c r="A856" s="311"/>
      <c r="B856" s="303"/>
      <c r="C856" s="304"/>
      <c r="D856" s="305"/>
      <c r="E856" s="303"/>
      <c r="F856" s="303"/>
      <c r="G856" s="303"/>
      <c r="H856" s="306"/>
      <c r="I856" s="307"/>
      <c r="J856" s="307"/>
      <c r="K856" s="308"/>
      <c r="L856" s="308"/>
      <c r="M856" s="308"/>
      <c r="N856" s="308"/>
      <c r="O856" s="308"/>
      <c r="P856" s="309"/>
      <c r="Q856" s="310"/>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si="121"/>
        <v>0</v>
      </c>
      <c r="AB856" s="228" t="str">
        <f t="shared" si="122"/>
        <v/>
      </c>
    </row>
    <row r="857" spans="1:28" s="227" customFormat="1" ht="20.25">
      <c r="A857" s="311"/>
      <c r="B857" s="303"/>
      <c r="C857" s="304"/>
      <c r="D857" s="305"/>
      <c r="E857" s="303"/>
      <c r="F857" s="303"/>
      <c r="G857" s="303"/>
      <c r="H857" s="306"/>
      <c r="I857" s="307"/>
      <c r="J857" s="307"/>
      <c r="K857" s="308"/>
      <c r="L857" s="308"/>
      <c r="M857" s="308"/>
      <c r="N857" s="308"/>
      <c r="O857" s="308"/>
      <c r="P857" s="309"/>
      <c r="Q857" s="310"/>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si="121"/>
        <v>0</v>
      </c>
      <c r="AB857" s="228" t="str">
        <f t="shared" si="122"/>
        <v/>
      </c>
    </row>
    <row r="858" spans="1:28" s="227" customFormat="1" ht="20.25">
      <c r="A858" s="311"/>
      <c r="B858" s="303"/>
      <c r="C858" s="304"/>
      <c r="D858" s="305"/>
      <c r="E858" s="303"/>
      <c r="F858" s="303"/>
      <c r="G858" s="303"/>
      <c r="H858" s="306"/>
      <c r="I858" s="307"/>
      <c r="J858" s="307"/>
      <c r="K858" s="308"/>
      <c r="L858" s="308"/>
      <c r="M858" s="308"/>
      <c r="N858" s="308"/>
      <c r="O858" s="308"/>
      <c r="P858" s="309"/>
      <c r="Q858" s="310"/>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si="121"/>
        <v>0</v>
      </c>
      <c r="AB858" s="228" t="str">
        <f t="shared" si="122"/>
        <v/>
      </c>
    </row>
    <row r="859" spans="1:28" s="227" customFormat="1" ht="20.25">
      <c r="A859" s="311"/>
      <c r="B859" s="303"/>
      <c r="C859" s="304"/>
      <c r="D859" s="305"/>
      <c r="E859" s="303"/>
      <c r="F859" s="303"/>
      <c r="G859" s="303"/>
      <c r="H859" s="306"/>
      <c r="I859" s="307"/>
      <c r="J859" s="307"/>
      <c r="K859" s="308"/>
      <c r="L859" s="308"/>
      <c r="M859" s="308"/>
      <c r="N859" s="308"/>
      <c r="O859" s="308"/>
      <c r="P859" s="309"/>
      <c r="Q859" s="310"/>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si="121"/>
        <v>0</v>
      </c>
      <c r="AB859" s="228" t="str">
        <f t="shared" si="122"/>
        <v/>
      </c>
    </row>
    <row r="860" spans="1:28" s="227" customFormat="1" ht="20.25">
      <c r="A860" s="311"/>
      <c r="B860" s="303"/>
      <c r="C860" s="304"/>
      <c r="D860" s="305"/>
      <c r="E860" s="303"/>
      <c r="F860" s="303"/>
      <c r="G860" s="303"/>
      <c r="H860" s="306"/>
      <c r="I860" s="307"/>
      <c r="J860" s="307"/>
      <c r="K860" s="308"/>
      <c r="L860" s="308"/>
      <c r="M860" s="308"/>
      <c r="N860" s="308"/>
      <c r="O860" s="308"/>
      <c r="P860" s="309"/>
      <c r="Q860" s="310"/>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si="124">IF(AND(C860="Smelter not listed",OR(LEN(D860)=0,LEN(E860)=0)),1,0)</f>
        <v>0</v>
      </c>
      <c r="AB860" s="228" t="str">
        <f t="shared" ref="AB860:AB890" si="125">B860&amp;C860</f>
        <v/>
      </c>
    </row>
    <row r="861" spans="1:28" s="227" customFormat="1" ht="20.25">
      <c r="A861" s="311"/>
      <c r="B861" s="303"/>
      <c r="C861" s="304"/>
      <c r="D861" s="305"/>
      <c r="E861" s="303"/>
      <c r="F861" s="303"/>
      <c r="G861" s="303"/>
      <c r="H861" s="306"/>
      <c r="I861" s="307"/>
      <c r="J861" s="307"/>
      <c r="K861" s="308"/>
      <c r="L861" s="308"/>
      <c r="M861" s="308"/>
      <c r="N861" s="308"/>
      <c r="O861" s="308"/>
      <c r="P861" s="309"/>
      <c r="Q861" s="310"/>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si="124"/>
        <v>0</v>
      </c>
      <c r="AB861" s="228" t="str">
        <f t="shared" si="125"/>
        <v/>
      </c>
    </row>
    <row r="862" spans="1:28" s="227" customFormat="1" ht="20.25">
      <c r="A862" s="311"/>
      <c r="B862" s="303"/>
      <c r="C862" s="304"/>
      <c r="D862" s="305"/>
      <c r="E862" s="303"/>
      <c r="F862" s="303"/>
      <c r="G862" s="303"/>
      <c r="H862" s="306"/>
      <c r="I862" s="307"/>
      <c r="J862" s="307"/>
      <c r="K862" s="308"/>
      <c r="L862" s="308"/>
      <c r="M862" s="308"/>
      <c r="N862" s="308"/>
      <c r="O862" s="308"/>
      <c r="P862" s="309"/>
      <c r="Q862" s="310"/>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si="124"/>
        <v>0</v>
      </c>
      <c r="AB862" s="228" t="str">
        <f t="shared" si="125"/>
        <v/>
      </c>
    </row>
    <row r="863" spans="1:28" s="227" customFormat="1" ht="20.25">
      <c r="A863" s="311"/>
      <c r="B863" s="303"/>
      <c r="C863" s="304"/>
      <c r="D863" s="305"/>
      <c r="E863" s="303"/>
      <c r="F863" s="303"/>
      <c r="G863" s="303"/>
      <c r="H863" s="306"/>
      <c r="I863" s="307"/>
      <c r="J863" s="307"/>
      <c r="K863" s="308"/>
      <c r="L863" s="308"/>
      <c r="M863" s="308"/>
      <c r="N863" s="308"/>
      <c r="O863" s="308"/>
      <c r="P863" s="309"/>
      <c r="Q863" s="310"/>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si="124"/>
        <v>0</v>
      </c>
      <c r="AB863" s="228" t="str">
        <f t="shared" si="125"/>
        <v/>
      </c>
    </row>
    <row r="864" spans="1:28" s="227" customFormat="1" ht="20.25">
      <c r="A864" s="311"/>
      <c r="B864" s="303"/>
      <c r="C864" s="304"/>
      <c r="D864" s="305"/>
      <c r="E864" s="303"/>
      <c r="F864" s="303"/>
      <c r="G864" s="303"/>
      <c r="H864" s="306"/>
      <c r="I864" s="307"/>
      <c r="J864" s="307"/>
      <c r="K864" s="308"/>
      <c r="L864" s="308"/>
      <c r="M864" s="308"/>
      <c r="N864" s="308"/>
      <c r="O864" s="308"/>
      <c r="P864" s="309"/>
      <c r="Q864" s="310"/>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si="124"/>
        <v>0</v>
      </c>
      <c r="AB864" s="228" t="str">
        <f t="shared" si="125"/>
        <v/>
      </c>
    </row>
    <row r="865" spans="1:28" s="227" customFormat="1" ht="20.25">
      <c r="A865" s="311"/>
      <c r="B865" s="303"/>
      <c r="C865" s="304"/>
      <c r="D865" s="305"/>
      <c r="E865" s="303"/>
      <c r="F865" s="303"/>
      <c r="G865" s="303"/>
      <c r="H865" s="306"/>
      <c r="I865" s="307"/>
      <c r="J865" s="307"/>
      <c r="K865" s="308"/>
      <c r="L865" s="308"/>
      <c r="M865" s="308"/>
      <c r="N865" s="308"/>
      <c r="O865" s="308"/>
      <c r="P865" s="309"/>
      <c r="Q865" s="310"/>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si="124"/>
        <v>0</v>
      </c>
      <c r="AB865" s="228" t="str">
        <f t="shared" si="125"/>
        <v/>
      </c>
    </row>
    <row r="866" spans="1:28" s="227" customFormat="1" ht="20.25">
      <c r="A866" s="311"/>
      <c r="B866" s="303"/>
      <c r="C866" s="304"/>
      <c r="D866" s="305"/>
      <c r="E866" s="303"/>
      <c r="F866" s="303"/>
      <c r="G866" s="303"/>
      <c r="H866" s="306"/>
      <c r="I866" s="307"/>
      <c r="J866" s="307"/>
      <c r="K866" s="308"/>
      <c r="L866" s="308"/>
      <c r="M866" s="308"/>
      <c r="N866" s="308"/>
      <c r="O866" s="308"/>
      <c r="P866" s="309"/>
      <c r="Q866" s="310"/>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si="124"/>
        <v>0</v>
      </c>
      <c r="AB866" s="228" t="str">
        <f t="shared" si="125"/>
        <v/>
      </c>
    </row>
    <row r="867" spans="1:28" s="227" customFormat="1" ht="20.25">
      <c r="A867" s="311"/>
      <c r="B867" s="303"/>
      <c r="C867" s="304"/>
      <c r="D867" s="305"/>
      <c r="E867" s="303"/>
      <c r="F867" s="303"/>
      <c r="G867" s="303"/>
      <c r="H867" s="306"/>
      <c r="I867" s="307"/>
      <c r="J867" s="307"/>
      <c r="K867" s="308"/>
      <c r="L867" s="308"/>
      <c r="M867" s="308"/>
      <c r="N867" s="308"/>
      <c r="O867" s="308"/>
      <c r="P867" s="309"/>
      <c r="Q867" s="310"/>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si="124"/>
        <v>0</v>
      </c>
      <c r="AB867" s="228" t="str">
        <f t="shared" si="125"/>
        <v/>
      </c>
    </row>
    <row r="868" spans="1:28" s="227" customFormat="1" ht="20.25">
      <c r="A868" s="311"/>
      <c r="B868" s="303"/>
      <c r="C868" s="304"/>
      <c r="D868" s="305"/>
      <c r="E868" s="303"/>
      <c r="F868" s="303"/>
      <c r="G868" s="303"/>
      <c r="H868" s="306"/>
      <c r="I868" s="307"/>
      <c r="J868" s="307"/>
      <c r="K868" s="308"/>
      <c r="L868" s="308"/>
      <c r="M868" s="308"/>
      <c r="N868" s="308"/>
      <c r="O868" s="308"/>
      <c r="P868" s="309"/>
      <c r="Q868" s="310"/>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si="124"/>
        <v>0</v>
      </c>
      <c r="AB868" s="228" t="str">
        <f t="shared" si="125"/>
        <v/>
      </c>
    </row>
    <row r="869" spans="1:28" s="227" customFormat="1" ht="20.25">
      <c r="A869" s="311"/>
      <c r="B869" s="303"/>
      <c r="C869" s="304"/>
      <c r="D869" s="305"/>
      <c r="E869" s="303"/>
      <c r="F869" s="303"/>
      <c r="G869" s="303"/>
      <c r="H869" s="306"/>
      <c r="I869" s="307"/>
      <c r="J869" s="307"/>
      <c r="K869" s="308"/>
      <c r="L869" s="308"/>
      <c r="M869" s="308"/>
      <c r="N869" s="308"/>
      <c r="O869" s="308"/>
      <c r="P869" s="309"/>
      <c r="Q869" s="310"/>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si="124"/>
        <v>0</v>
      </c>
      <c r="AB869" s="228" t="str">
        <f t="shared" si="125"/>
        <v/>
      </c>
    </row>
    <row r="870" spans="1:28" s="227" customFormat="1" ht="20.25">
      <c r="A870" s="311"/>
      <c r="B870" s="303"/>
      <c r="C870" s="304"/>
      <c r="D870" s="305"/>
      <c r="E870" s="303"/>
      <c r="F870" s="303"/>
      <c r="G870" s="303"/>
      <c r="H870" s="306"/>
      <c r="I870" s="307"/>
      <c r="J870" s="307"/>
      <c r="K870" s="308"/>
      <c r="L870" s="308"/>
      <c r="M870" s="308"/>
      <c r="N870" s="308"/>
      <c r="O870" s="308"/>
      <c r="P870" s="309"/>
      <c r="Q870" s="310"/>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si="124"/>
        <v>0</v>
      </c>
      <c r="AB870" s="228" t="str">
        <f t="shared" si="125"/>
        <v/>
      </c>
    </row>
    <row r="871" spans="1:28" s="227" customFormat="1" ht="20.25">
      <c r="A871" s="311"/>
      <c r="B871" s="303"/>
      <c r="C871" s="304"/>
      <c r="D871" s="305"/>
      <c r="E871" s="303"/>
      <c r="F871" s="303"/>
      <c r="G871" s="303"/>
      <c r="H871" s="306"/>
      <c r="I871" s="307"/>
      <c r="J871" s="307"/>
      <c r="K871" s="308"/>
      <c r="L871" s="308"/>
      <c r="M871" s="308"/>
      <c r="N871" s="308"/>
      <c r="O871" s="308"/>
      <c r="P871" s="309"/>
      <c r="Q871" s="310"/>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si="124"/>
        <v>0</v>
      </c>
      <c r="AB871" s="228" t="str">
        <f t="shared" si="125"/>
        <v/>
      </c>
    </row>
    <row r="872" spans="1:28" s="227" customFormat="1" ht="20.25">
      <c r="A872" s="311"/>
      <c r="B872" s="303"/>
      <c r="C872" s="304"/>
      <c r="D872" s="305"/>
      <c r="E872" s="303"/>
      <c r="F872" s="303"/>
      <c r="G872" s="303"/>
      <c r="H872" s="306"/>
      <c r="I872" s="307"/>
      <c r="J872" s="307"/>
      <c r="K872" s="308"/>
      <c r="L872" s="308"/>
      <c r="M872" s="308"/>
      <c r="N872" s="308"/>
      <c r="O872" s="308"/>
      <c r="P872" s="309"/>
      <c r="Q872" s="310"/>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si="124"/>
        <v>0</v>
      </c>
      <c r="AB872" s="228" t="str">
        <f t="shared" si="125"/>
        <v/>
      </c>
    </row>
    <row r="873" spans="1:28" s="227" customFormat="1" ht="20.25">
      <c r="A873" s="311"/>
      <c r="B873" s="303"/>
      <c r="C873" s="304"/>
      <c r="D873" s="305"/>
      <c r="E873" s="303"/>
      <c r="F873" s="303"/>
      <c r="G873" s="303"/>
      <c r="H873" s="306"/>
      <c r="I873" s="307"/>
      <c r="J873" s="307"/>
      <c r="K873" s="308"/>
      <c r="L873" s="308"/>
      <c r="M873" s="308"/>
      <c r="N873" s="308"/>
      <c r="O873" s="308"/>
      <c r="P873" s="309"/>
      <c r="Q873" s="310"/>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si="124"/>
        <v>0</v>
      </c>
      <c r="AB873" s="228" t="str">
        <f t="shared" si="125"/>
        <v/>
      </c>
    </row>
    <row r="874" spans="1:28" s="227" customFormat="1" ht="20.25">
      <c r="A874" s="311"/>
      <c r="B874" s="303"/>
      <c r="C874" s="304"/>
      <c r="D874" s="305"/>
      <c r="E874" s="303"/>
      <c r="F874" s="303"/>
      <c r="G874" s="303"/>
      <c r="H874" s="306"/>
      <c r="I874" s="307"/>
      <c r="J874" s="307"/>
      <c r="K874" s="308"/>
      <c r="L874" s="308"/>
      <c r="M874" s="308"/>
      <c r="N874" s="308"/>
      <c r="O874" s="308"/>
      <c r="P874" s="309"/>
      <c r="Q874" s="310"/>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si="124"/>
        <v>0</v>
      </c>
      <c r="AB874" s="228" t="str">
        <f t="shared" si="125"/>
        <v/>
      </c>
    </row>
    <row r="875" spans="1:28" s="227" customFormat="1" ht="20.25">
      <c r="A875" s="311"/>
      <c r="B875" s="303"/>
      <c r="C875" s="304"/>
      <c r="D875" s="305"/>
      <c r="E875" s="303"/>
      <c r="F875" s="303"/>
      <c r="G875" s="303"/>
      <c r="H875" s="306"/>
      <c r="I875" s="307"/>
      <c r="J875" s="307"/>
      <c r="K875" s="308"/>
      <c r="L875" s="308"/>
      <c r="M875" s="308"/>
      <c r="N875" s="308"/>
      <c r="O875" s="308"/>
      <c r="P875" s="309"/>
      <c r="Q875" s="310"/>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si="124"/>
        <v>0</v>
      </c>
      <c r="AB875" s="228" t="str">
        <f t="shared" si="125"/>
        <v/>
      </c>
    </row>
    <row r="876" spans="1:28" s="227" customFormat="1" ht="20.25">
      <c r="A876" s="311"/>
      <c r="B876" s="303"/>
      <c r="C876" s="304"/>
      <c r="D876" s="305"/>
      <c r="E876" s="303"/>
      <c r="F876" s="303"/>
      <c r="G876" s="303"/>
      <c r="H876" s="306"/>
      <c r="I876" s="307"/>
      <c r="J876" s="307"/>
      <c r="K876" s="308"/>
      <c r="L876" s="308"/>
      <c r="M876" s="308"/>
      <c r="N876" s="308"/>
      <c r="O876" s="308"/>
      <c r="P876" s="309"/>
      <c r="Q876" s="310"/>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si="124"/>
        <v>0</v>
      </c>
      <c r="AB876" s="228" t="str">
        <f t="shared" si="125"/>
        <v/>
      </c>
    </row>
    <row r="877" spans="1:28" s="227" customFormat="1" ht="20.25">
      <c r="A877" s="311"/>
      <c r="B877" s="303"/>
      <c r="C877" s="304"/>
      <c r="D877" s="305"/>
      <c r="E877" s="303"/>
      <c r="F877" s="303"/>
      <c r="G877" s="303"/>
      <c r="H877" s="306"/>
      <c r="I877" s="307"/>
      <c r="J877" s="307"/>
      <c r="K877" s="308"/>
      <c r="L877" s="308"/>
      <c r="M877" s="308"/>
      <c r="N877" s="308"/>
      <c r="O877" s="308"/>
      <c r="P877" s="309"/>
      <c r="Q877" s="310"/>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si="124"/>
        <v>0</v>
      </c>
      <c r="AB877" s="228" t="str">
        <f t="shared" si="125"/>
        <v/>
      </c>
    </row>
    <row r="878" spans="1:28" s="227" customFormat="1" ht="20.25">
      <c r="A878" s="311"/>
      <c r="B878" s="303"/>
      <c r="C878" s="304"/>
      <c r="D878" s="305"/>
      <c r="E878" s="303"/>
      <c r="F878" s="303"/>
      <c r="G878" s="303"/>
      <c r="H878" s="306"/>
      <c r="I878" s="307"/>
      <c r="J878" s="307"/>
      <c r="K878" s="308"/>
      <c r="L878" s="308"/>
      <c r="M878" s="308"/>
      <c r="N878" s="308"/>
      <c r="O878" s="308"/>
      <c r="P878" s="309"/>
      <c r="Q878" s="310"/>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si="124"/>
        <v>0</v>
      </c>
      <c r="AB878" s="228" t="str">
        <f t="shared" si="125"/>
        <v/>
      </c>
    </row>
    <row r="879" spans="1:28" s="227" customFormat="1" ht="20.25">
      <c r="A879" s="311"/>
      <c r="B879" s="303"/>
      <c r="C879" s="304"/>
      <c r="D879" s="305"/>
      <c r="E879" s="303"/>
      <c r="F879" s="303"/>
      <c r="G879" s="303"/>
      <c r="H879" s="306"/>
      <c r="I879" s="307"/>
      <c r="J879" s="307"/>
      <c r="K879" s="308"/>
      <c r="L879" s="308"/>
      <c r="M879" s="308"/>
      <c r="N879" s="308"/>
      <c r="O879" s="308"/>
      <c r="P879" s="309"/>
      <c r="Q879" s="310"/>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si="124"/>
        <v>0</v>
      </c>
      <c r="AB879" s="228" t="str">
        <f t="shared" si="125"/>
        <v/>
      </c>
    </row>
    <row r="880" spans="1:28" s="227" customFormat="1" ht="20.25">
      <c r="A880" s="311"/>
      <c r="B880" s="303"/>
      <c r="C880" s="304"/>
      <c r="D880" s="305"/>
      <c r="E880" s="303"/>
      <c r="F880" s="303"/>
      <c r="G880" s="303"/>
      <c r="H880" s="306"/>
      <c r="I880" s="307"/>
      <c r="J880" s="307"/>
      <c r="K880" s="308"/>
      <c r="L880" s="308"/>
      <c r="M880" s="308"/>
      <c r="N880" s="308"/>
      <c r="O880" s="308"/>
      <c r="P880" s="309"/>
      <c r="Q880" s="310"/>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si="124"/>
        <v>0</v>
      </c>
      <c r="AB880" s="228" t="str">
        <f t="shared" si="125"/>
        <v/>
      </c>
    </row>
    <row r="881" spans="1:28" s="227" customFormat="1" ht="20.25">
      <c r="A881" s="311"/>
      <c r="B881" s="303"/>
      <c r="C881" s="304"/>
      <c r="D881" s="305"/>
      <c r="E881" s="303"/>
      <c r="F881" s="303"/>
      <c r="G881" s="303"/>
      <c r="H881" s="306"/>
      <c r="I881" s="307"/>
      <c r="J881" s="307"/>
      <c r="K881" s="308"/>
      <c r="L881" s="308"/>
      <c r="M881" s="308"/>
      <c r="N881" s="308"/>
      <c r="O881" s="308"/>
      <c r="P881" s="309"/>
      <c r="Q881" s="310"/>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si="124"/>
        <v>0</v>
      </c>
      <c r="AB881" s="228" t="str">
        <f t="shared" si="125"/>
        <v/>
      </c>
    </row>
    <row r="882" spans="1:28" s="227" customFormat="1" ht="20.25">
      <c r="A882" s="311"/>
      <c r="B882" s="303"/>
      <c r="C882" s="304"/>
      <c r="D882" s="305"/>
      <c r="E882" s="303"/>
      <c r="F882" s="303"/>
      <c r="G882" s="303"/>
      <c r="H882" s="306"/>
      <c r="I882" s="307"/>
      <c r="J882" s="307"/>
      <c r="K882" s="308"/>
      <c r="L882" s="308"/>
      <c r="M882" s="308"/>
      <c r="N882" s="308"/>
      <c r="O882" s="308"/>
      <c r="P882" s="309"/>
      <c r="Q882" s="310"/>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si="124"/>
        <v>0</v>
      </c>
      <c r="AB882" s="228" t="str">
        <f t="shared" si="125"/>
        <v/>
      </c>
    </row>
    <row r="883" spans="1:28" s="227" customFormat="1" ht="20.25">
      <c r="A883" s="311"/>
      <c r="B883" s="303"/>
      <c r="C883" s="304"/>
      <c r="D883" s="305"/>
      <c r="E883" s="303"/>
      <c r="F883" s="303"/>
      <c r="G883" s="303"/>
      <c r="H883" s="306"/>
      <c r="I883" s="307"/>
      <c r="J883" s="307"/>
      <c r="K883" s="308"/>
      <c r="L883" s="308"/>
      <c r="M883" s="308"/>
      <c r="N883" s="308"/>
      <c r="O883" s="308"/>
      <c r="P883" s="309"/>
      <c r="Q883" s="310"/>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si="124"/>
        <v>0</v>
      </c>
      <c r="AB883" s="228" t="str">
        <f t="shared" si="125"/>
        <v/>
      </c>
    </row>
    <row r="884" spans="1:28" s="227" customFormat="1" ht="20.25">
      <c r="A884" s="311"/>
      <c r="B884" s="303"/>
      <c r="C884" s="304"/>
      <c r="D884" s="305"/>
      <c r="E884" s="303"/>
      <c r="F884" s="303"/>
      <c r="G884" s="303"/>
      <c r="H884" s="306"/>
      <c r="I884" s="307"/>
      <c r="J884" s="307"/>
      <c r="K884" s="308"/>
      <c r="L884" s="308"/>
      <c r="M884" s="308"/>
      <c r="N884" s="308"/>
      <c r="O884" s="308"/>
      <c r="P884" s="309"/>
      <c r="Q884" s="310"/>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si="124"/>
        <v>0</v>
      </c>
      <c r="AB884" s="228" t="str">
        <f t="shared" si="125"/>
        <v/>
      </c>
    </row>
    <row r="885" spans="1:28" s="227" customFormat="1" ht="20.25">
      <c r="A885" s="311"/>
      <c r="B885" s="303"/>
      <c r="C885" s="304"/>
      <c r="D885" s="305"/>
      <c r="E885" s="303"/>
      <c r="F885" s="303"/>
      <c r="G885" s="303"/>
      <c r="H885" s="306"/>
      <c r="I885" s="307"/>
      <c r="J885" s="307"/>
      <c r="K885" s="308"/>
      <c r="L885" s="308"/>
      <c r="M885" s="308"/>
      <c r="N885" s="308"/>
      <c r="O885" s="308"/>
      <c r="P885" s="309"/>
      <c r="Q885" s="310"/>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si="124"/>
        <v>0</v>
      </c>
      <c r="AB885" s="228" t="str">
        <f t="shared" si="125"/>
        <v/>
      </c>
    </row>
    <row r="886" spans="1:28" s="227" customFormat="1" ht="20.25">
      <c r="A886" s="311"/>
      <c r="B886" s="303"/>
      <c r="C886" s="304"/>
      <c r="D886" s="305"/>
      <c r="E886" s="303"/>
      <c r="F886" s="303"/>
      <c r="G886" s="303"/>
      <c r="H886" s="306"/>
      <c r="I886" s="307"/>
      <c r="J886" s="307"/>
      <c r="K886" s="308"/>
      <c r="L886" s="308"/>
      <c r="M886" s="308"/>
      <c r="N886" s="308"/>
      <c r="O886" s="308"/>
      <c r="P886" s="309"/>
      <c r="Q886" s="310"/>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si="124"/>
        <v>0</v>
      </c>
      <c r="AB886" s="228" t="str">
        <f t="shared" si="125"/>
        <v/>
      </c>
    </row>
    <row r="887" spans="1:28" s="227" customFormat="1" ht="20.25">
      <c r="A887" s="311"/>
      <c r="B887" s="303"/>
      <c r="C887" s="304"/>
      <c r="D887" s="305"/>
      <c r="E887" s="303"/>
      <c r="F887" s="303"/>
      <c r="G887" s="303"/>
      <c r="H887" s="306"/>
      <c r="I887" s="307"/>
      <c r="J887" s="307"/>
      <c r="K887" s="308"/>
      <c r="L887" s="308"/>
      <c r="M887" s="308"/>
      <c r="N887" s="308"/>
      <c r="O887" s="308"/>
      <c r="P887" s="309"/>
      <c r="Q887" s="310"/>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si="124"/>
        <v>0</v>
      </c>
      <c r="AB887" s="228" t="str">
        <f t="shared" si="125"/>
        <v/>
      </c>
    </row>
    <row r="888" spans="1:28" s="227" customFormat="1" ht="20.25">
      <c r="A888" s="311"/>
      <c r="B888" s="303"/>
      <c r="C888" s="304"/>
      <c r="D888" s="305"/>
      <c r="E888" s="303"/>
      <c r="F888" s="303"/>
      <c r="G888" s="303"/>
      <c r="H888" s="306"/>
      <c r="I888" s="307"/>
      <c r="J888" s="307"/>
      <c r="K888" s="308"/>
      <c r="L888" s="308"/>
      <c r="M888" s="308"/>
      <c r="N888" s="308"/>
      <c r="O888" s="308"/>
      <c r="P888" s="309"/>
      <c r="Q888" s="310"/>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si="124"/>
        <v>0</v>
      </c>
      <c r="AB888" s="228" t="str">
        <f t="shared" si="125"/>
        <v/>
      </c>
    </row>
    <row r="889" spans="1:28" s="227" customFormat="1" ht="20.25">
      <c r="A889" s="311"/>
      <c r="B889" s="303"/>
      <c r="C889" s="304"/>
      <c r="D889" s="305"/>
      <c r="E889" s="303"/>
      <c r="F889" s="303"/>
      <c r="G889" s="303"/>
      <c r="H889" s="306"/>
      <c r="I889" s="307"/>
      <c r="J889" s="307"/>
      <c r="K889" s="308"/>
      <c r="L889" s="308"/>
      <c r="M889" s="308"/>
      <c r="N889" s="308"/>
      <c r="O889" s="308"/>
      <c r="P889" s="309"/>
      <c r="Q889" s="310"/>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si="124"/>
        <v>0</v>
      </c>
      <c r="AB889" s="228" t="str">
        <f t="shared" si="125"/>
        <v/>
      </c>
    </row>
    <row r="890" spans="1:28" s="227" customFormat="1" ht="20.25">
      <c r="A890" s="311"/>
      <c r="B890" s="303"/>
      <c r="C890" s="304"/>
      <c r="D890" s="305"/>
      <c r="E890" s="303"/>
      <c r="F890" s="303"/>
      <c r="G890" s="303"/>
      <c r="H890" s="306"/>
      <c r="I890" s="307"/>
      <c r="J890" s="307"/>
      <c r="K890" s="308"/>
      <c r="L890" s="308"/>
      <c r="M890" s="308"/>
      <c r="N890" s="308"/>
      <c r="O890" s="308"/>
      <c r="P890" s="309"/>
      <c r="Q890" s="310"/>
      <c r="R890" s="182" t="str">
        <f ca="1">IF(ISERROR($V890),"",OFFSET('Smelter Look-up'!$C$4,$V890-4,0)&amp;"")</f>
        <v/>
      </c>
      <c r="S890" s="181" t="str">
        <f t="shared" ca="1" si="12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si="124"/>
        <v>0</v>
      </c>
      <c r="AB890" s="228" t="str">
        <f t="shared" si="125"/>
        <v/>
      </c>
    </row>
    <row r="891" spans="1:28" s="227" customFormat="1" ht="20.25">
      <c r="A891" s="311"/>
      <c r="B891" s="303"/>
      <c r="C891" s="304"/>
      <c r="D891" s="305"/>
      <c r="E891" s="303"/>
      <c r="F891" s="303"/>
      <c r="G891" s="303"/>
      <c r="H891" s="306"/>
      <c r="I891" s="307"/>
      <c r="J891" s="307"/>
      <c r="K891" s="308"/>
      <c r="L891" s="308"/>
      <c r="M891" s="308"/>
      <c r="N891" s="308"/>
      <c r="O891" s="308"/>
      <c r="P891" s="309"/>
      <c r="Q891" s="310"/>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si="127">IF(AND(C891="Smelter not listed",OR(LEN(D891)=0,LEN(E891)=0)),1,0)</f>
        <v>0</v>
      </c>
      <c r="AB891" s="228" t="str">
        <f t="shared" ref="AB891" si="128">B891&amp;C891</f>
        <v/>
      </c>
    </row>
    <row r="892" spans="1:28" s="227" customFormat="1" ht="20.25">
      <c r="A892" s="311"/>
      <c r="B892" s="303"/>
      <c r="C892" s="304"/>
      <c r="D892" s="305"/>
      <c r="E892" s="303"/>
      <c r="F892" s="303"/>
      <c r="G892" s="303"/>
      <c r="H892" s="306"/>
      <c r="I892" s="307"/>
      <c r="J892" s="307"/>
      <c r="K892" s="308"/>
      <c r="L892" s="308"/>
      <c r="M892" s="308"/>
      <c r="N892" s="308"/>
      <c r="O892" s="308"/>
      <c r="P892" s="309"/>
      <c r="Q892" s="310"/>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si="130">IF(AND(C892="Smelter not listed",OR(LEN(D892)=0,LEN(E892)=0)),1,0)</f>
        <v>0</v>
      </c>
      <c r="AB892" s="228" t="str">
        <f t="shared" ref="AB892:AB923" si="131">B892&amp;C892</f>
        <v/>
      </c>
    </row>
    <row r="893" spans="1:28" s="227" customFormat="1" ht="20.25">
      <c r="A893" s="311"/>
      <c r="B893" s="303"/>
      <c r="C893" s="304"/>
      <c r="D893" s="305"/>
      <c r="E893" s="303"/>
      <c r="F893" s="303"/>
      <c r="G893" s="303"/>
      <c r="H893" s="306"/>
      <c r="I893" s="307"/>
      <c r="J893" s="307"/>
      <c r="K893" s="308"/>
      <c r="L893" s="308"/>
      <c r="M893" s="308"/>
      <c r="N893" s="308"/>
      <c r="O893" s="308"/>
      <c r="P893" s="309"/>
      <c r="Q893" s="310"/>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si="130"/>
        <v>0</v>
      </c>
      <c r="AB893" s="228" t="str">
        <f t="shared" si="131"/>
        <v/>
      </c>
    </row>
    <row r="894" spans="1:28" s="227" customFormat="1" ht="20.25">
      <c r="A894" s="311"/>
      <c r="B894" s="303"/>
      <c r="C894" s="304"/>
      <c r="D894" s="305"/>
      <c r="E894" s="303"/>
      <c r="F894" s="303"/>
      <c r="G894" s="303"/>
      <c r="H894" s="306"/>
      <c r="I894" s="307"/>
      <c r="J894" s="307"/>
      <c r="K894" s="308"/>
      <c r="L894" s="308"/>
      <c r="M894" s="308"/>
      <c r="N894" s="308"/>
      <c r="O894" s="308"/>
      <c r="P894" s="309"/>
      <c r="Q894" s="310"/>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si="130"/>
        <v>0</v>
      </c>
      <c r="AB894" s="228" t="str">
        <f t="shared" si="131"/>
        <v/>
      </c>
    </row>
    <row r="895" spans="1:28" s="227" customFormat="1" ht="20.25">
      <c r="A895" s="311"/>
      <c r="B895" s="303"/>
      <c r="C895" s="304"/>
      <c r="D895" s="305"/>
      <c r="E895" s="303"/>
      <c r="F895" s="303"/>
      <c r="G895" s="303"/>
      <c r="H895" s="306"/>
      <c r="I895" s="307"/>
      <c r="J895" s="307"/>
      <c r="K895" s="308"/>
      <c r="L895" s="308"/>
      <c r="M895" s="308"/>
      <c r="N895" s="308"/>
      <c r="O895" s="308"/>
      <c r="P895" s="309"/>
      <c r="Q895" s="310"/>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si="130"/>
        <v>0</v>
      </c>
      <c r="AB895" s="228" t="str">
        <f t="shared" si="131"/>
        <v/>
      </c>
    </row>
    <row r="896" spans="1:28" s="227" customFormat="1" ht="20.25">
      <c r="A896" s="311"/>
      <c r="B896" s="303"/>
      <c r="C896" s="304"/>
      <c r="D896" s="305"/>
      <c r="E896" s="303"/>
      <c r="F896" s="303"/>
      <c r="G896" s="303"/>
      <c r="H896" s="306"/>
      <c r="I896" s="307"/>
      <c r="J896" s="307"/>
      <c r="K896" s="308"/>
      <c r="L896" s="308"/>
      <c r="M896" s="308"/>
      <c r="N896" s="308"/>
      <c r="O896" s="308"/>
      <c r="P896" s="309"/>
      <c r="Q896" s="310"/>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si="130"/>
        <v>0</v>
      </c>
      <c r="AB896" s="228" t="str">
        <f t="shared" si="131"/>
        <v/>
      </c>
    </row>
    <row r="897" spans="1:28" s="227" customFormat="1" ht="20.25">
      <c r="A897" s="311"/>
      <c r="B897" s="303"/>
      <c r="C897" s="304"/>
      <c r="D897" s="305"/>
      <c r="E897" s="303"/>
      <c r="F897" s="303"/>
      <c r="G897" s="303"/>
      <c r="H897" s="306"/>
      <c r="I897" s="307"/>
      <c r="J897" s="307"/>
      <c r="K897" s="308"/>
      <c r="L897" s="308"/>
      <c r="M897" s="308"/>
      <c r="N897" s="308"/>
      <c r="O897" s="308"/>
      <c r="P897" s="309"/>
      <c r="Q897" s="310"/>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si="130"/>
        <v>0</v>
      </c>
      <c r="AB897" s="228" t="str">
        <f t="shared" si="131"/>
        <v/>
      </c>
    </row>
    <row r="898" spans="1:28" s="227" customFormat="1" ht="20.25">
      <c r="A898" s="311"/>
      <c r="B898" s="303"/>
      <c r="C898" s="304"/>
      <c r="D898" s="305"/>
      <c r="E898" s="303"/>
      <c r="F898" s="303"/>
      <c r="G898" s="303"/>
      <c r="H898" s="306"/>
      <c r="I898" s="307"/>
      <c r="J898" s="307"/>
      <c r="K898" s="308"/>
      <c r="L898" s="308"/>
      <c r="M898" s="308"/>
      <c r="N898" s="308"/>
      <c r="O898" s="308"/>
      <c r="P898" s="309"/>
      <c r="Q898" s="310"/>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si="130"/>
        <v>0</v>
      </c>
      <c r="AB898" s="228" t="str">
        <f t="shared" si="131"/>
        <v/>
      </c>
    </row>
    <row r="899" spans="1:28" s="227" customFormat="1" ht="20.25">
      <c r="A899" s="311"/>
      <c r="B899" s="303"/>
      <c r="C899" s="304"/>
      <c r="D899" s="305"/>
      <c r="E899" s="303"/>
      <c r="F899" s="303"/>
      <c r="G899" s="303"/>
      <c r="H899" s="306"/>
      <c r="I899" s="307"/>
      <c r="J899" s="307"/>
      <c r="K899" s="308"/>
      <c r="L899" s="308"/>
      <c r="M899" s="308"/>
      <c r="N899" s="308"/>
      <c r="O899" s="308"/>
      <c r="P899" s="309"/>
      <c r="Q899" s="310"/>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si="130"/>
        <v>0</v>
      </c>
      <c r="AB899" s="228" t="str">
        <f t="shared" si="131"/>
        <v/>
      </c>
    </row>
    <row r="900" spans="1:28" s="227" customFormat="1" ht="20.25">
      <c r="A900" s="311"/>
      <c r="B900" s="303"/>
      <c r="C900" s="304"/>
      <c r="D900" s="305"/>
      <c r="E900" s="303"/>
      <c r="F900" s="303"/>
      <c r="G900" s="303"/>
      <c r="H900" s="306"/>
      <c r="I900" s="307"/>
      <c r="J900" s="307"/>
      <c r="K900" s="308"/>
      <c r="L900" s="308"/>
      <c r="M900" s="308"/>
      <c r="N900" s="308"/>
      <c r="O900" s="308"/>
      <c r="P900" s="309"/>
      <c r="Q900" s="310"/>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si="130"/>
        <v>0</v>
      </c>
      <c r="AB900" s="228" t="str">
        <f t="shared" si="131"/>
        <v/>
      </c>
    </row>
    <row r="901" spans="1:28" s="227" customFormat="1" ht="20.25">
      <c r="A901" s="311"/>
      <c r="B901" s="303"/>
      <c r="C901" s="304"/>
      <c r="D901" s="305"/>
      <c r="E901" s="303"/>
      <c r="F901" s="303"/>
      <c r="G901" s="303"/>
      <c r="H901" s="306"/>
      <c r="I901" s="307"/>
      <c r="J901" s="307"/>
      <c r="K901" s="308"/>
      <c r="L901" s="308"/>
      <c r="M901" s="308"/>
      <c r="N901" s="308"/>
      <c r="O901" s="308"/>
      <c r="P901" s="309"/>
      <c r="Q901" s="310"/>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si="130"/>
        <v>0</v>
      </c>
      <c r="AB901" s="228" t="str">
        <f t="shared" si="131"/>
        <v/>
      </c>
    </row>
    <row r="902" spans="1:28" s="227" customFormat="1" ht="20.25">
      <c r="A902" s="311"/>
      <c r="B902" s="303"/>
      <c r="C902" s="304"/>
      <c r="D902" s="305"/>
      <c r="E902" s="303"/>
      <c r="F902" s="303"/>
      <c r="G902" s="303"/>
      <c r="H902" s="306"/>
      <c r="I902" s="307"/>
      <c r="J902" s="307"/>
      <c r="K902" s="308"/>
      <c r="L902" s="308"/>
      <c r="M902" s="308"/>
      <c r="N902" s="308"/>
      <c r="O902" s="308"/>
      <c r="P902" s="309"/>
      <c r="Q902" s="310"/>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si="130"/>
        <v>0</v>
      </c>
      <c r="AB902" s="228" t="str">
        <f t="shared" si="131"/>
        <v/>
      </c>
    </row>
    <row r="903" spans="1:28" s="227" customFormat="1" ht="20.25">
      <c r="A903" s="311"/>
      <c r="B903" s="303"/>
      <c r="C903" s="304"/>
      <c r="D903" s="305"/>
      <c r="E903" s="303"/>
      <c r="F903" s="303"/>
      <c r="G903" s="303"/>
      <c r="H903" s="306"/>
      <c r="I903" s="307"/>
      <c r="J903" s="307"/>
      <c r="K903" s="308"/>
      <c r="L903" s="308"/>
      <c r="M903" s="308"/>
      <c r="N903" s="308"/>
      <c r="O903" s="308"/>
      <c r="P903" s="309"/>
      <c r="Q903" s="310"/>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si="130"/>
        <v>0</v>
      </c>
      <c r="AB903" s="228" t="str">
        <f t="shared" si="131"/>
        <v/>
      </c>
    </row>
    <row r="904" spans="1:28" s="227" customFormat="1" ht="20.25">
      <c r="A904" s="311"/>
      <c r="B904" s="303"/>
      <c r="C904" s="304"/>
      <c r="D904" s="305"/>
      <c r="E904" s="303"/>
      <c r="F904" s="303"/>
      <c r="G904" s="303"/>
      <c r="H904" s="306"/>
      <c r="I904" s="307"/>
      <c r="J904" s="307"/>
      <c r="K904" s="308"/>
      <c r="L904" s="308"/>
      <c r="M904" s="308"/>
      <c r="N904" s="308"/>
      <c r="O904" s="308"/>
      <c r="P904" s="309"/>
      <c r="Q904" s="310"/>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si="130"/>
        <v>0</v>
      </c>
      <c r="AB904" s="228" t="str">
        <f t="shared" si="131"/>
        <v/>
      </c>
    </row>
    <row r="905" spans="1:28" s="227" customFormat="1" ht="20.25">
      <c r="A905" s="311"/>
      <c r="B905" s="303"/>
      <c r="C905" s="304"/>
      <c r="D905" s="305"/>
      <c r="E905" s="303"/>
      <c r="F905" s="303"/>
      <c r="G905" s="303"/>
      <c r="H905" s="306"/>
      <c r="I905" s="307"/>
      <c r="J905" s="307"/>
      <c r="K905" s="308"/>
      <c r="L905" s="308"/>
      <c r="M905" s="308"/>
      <c r="N905" s="308"/>
      <c r="O905" s="308"/>
      <c r="P905" s="309"/>
      <c r="Q905" s="310"/>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si="130"/>
        <v>0</v>
      </c>
      <c r="AB905" s="228" t="str">
        <f t="shared" si="131"/>
        <v/>
      </c>
    </row>
    <row r="906" spans="1:28" s="227" customFormat="1" ht="20.25">
      <c r="A906" s="311"/>
      <c r="B906" s="303"/>
      <c r="C906" s="304"/>
      <c r="D906" s="305"/>
      <c r="E906" s="303"/>
      <c r="F906" s="303"/>
      <c r="G906" s="303"/>
      <c r="H906" s="306"/>
      <c r="I906" s="307"/>
      <c r="J906" s="307"/>
      <c r="K906" s="308"/>
      <c r="L906" s="308"/>
      <c r="M906" s="308"/>
      <c r="N906" s="308"/>
      <c r="O906" s="308"/>
      <c r="P906" s="309"/>
      <c r="Q906" s="310"/>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si="130"/>
        <v>0</v>
      </c>
      <c r="AB906" s="228" t="str">
        <f t="shared" si="131"/>
        <v/>
      </c>
    </row>
    <row r="907" spans="1:28" s="227" customFormat="1" ht="20.25">
      <c r="A907" s="311"/>
      <c r="B907" s="303"/>
      <c r="C907" s="304"/>
      <c r="D907" s="305"/>
      <c r="E907" s="303"/>
      <c r="F907" s="303"/>
      <c r="G907" s="303"/>
      <c r="H907" s="306"/>
      <c r="I907" s="307"/>
      <c r="J907" s="307"/>
      <c r="K907" s="308"/>
      <c r="L907" s="308"/>
      <c r="M907" s="308"/>
      <c r="N907" s="308"/>
      <c r="O907" s="308"/>
      <c r="P907" s="309"/>
      <c r="Q907" s="310"/>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si="130"/>
        <v>0</v>
      </c>
      <c r="AB907" s="228" t="str">
        <f t="shared" si="131"/>
        <v/>
      </c>
    </row>
    <row r="908" spans="1:28" s="227" customFormat="1" ht="20.25">
      <c r="A908" s="311"/>
      <c r="B908" s="303"/>
      <c r="C908" s="304"/>
      <c r="D908" s="305"/>
      <c r="E908" s="303"/>
      <c r="F908" s="303"/>
      <c r="G908" s="303"/>
      <c r="H908" s="306"/>
      <c r="I908" s="307"/>
      <c r="J908" s="307"/>
      <c r="K908" s="308"/>
      <c r="L908" s="308"/>
      <c r="M908" s="308"/>
      <c r="N908" s="308"/>
      <c r="O908" s="308"/>
      <c r="P908" s="309"/>
      <c r="Q908" s="310"/>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si="130"/>
        <v>0</v>
      </c>
      <c r="AB908" s="228" t="str">
        <f t="shared" si="131"/>
        <v/>
      </c>
    </row>
    <row r="909" spans="1:28" s="227" customFormat="1" ht="20.25">
      <c r="A909" s="311"/>
      <c r="B909" s="303"/>
      <c r="C909" s="304"/>
      <c r="D909" s="305"/>
      <c r="E909" s="303"/>
      <c r="F909" s="303"/>
      <c r="G909" s="303"/>
      <c r="H909" s="306"/>
      <c r="I909" s="307"/>
      <c r="J909" s="307"/>
      <c r="K909" s="308"/>
      <c r="L909" s="308"/>
      <c r="M909" s="308"/>
      <c r="N909" s="308"/>
      <c r="O909" s="308"/>
      <c r="P909" s="309"/>
      <c r="Q909" s="310"/>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si="130"/>
        <v>0</v>
      </c>
      <c r="AB909" s="228" t="str">
        <f t="shared" si="131"/>
        <v/>
      </c>
    </row>
    <row r="910" spans="1:28" s="227" customFormat="1" ht="20.25">
      <c r="A910" s="311"/>
      <c r="B910" s="303"/>
      <c r="C910" s="304"/>
      <c r="D910" s="305"/>
      <c r="E910" s="303"/>
      <c r="F910" s="303"/>
      <c r="G910" s="303"/>
      <c r="H910" s="306"/>
      <c r="I910" s="307"/>
      <c r="J910" s="307"/>
      <c r="K910" s="308"/>
      <c r="L910" s="308"/>
      <c r="M910" s="308"/>
      <c r="N910" s="308"/>
      <c r="O910" s="308"/>
      <c r="P910" s="309"/>
      <c r="Q910" s="310"/>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si="130"/>
        <v>0</v>
      </c>
      <c r="AB910" s="228" t="str">
        <f t="shared" si="131"/>
        <v/>
      </c>
    </row>
    <row r="911" spans="1:28" s="227" customFormat="1" ht="20.25">
      <c r="A911" s="311"/>
      <c r="B911" s="303"/>
      <c r="C911" s="304"/>
      <c r="D911" s="305"/>
      <c r="E911" s="303"/>
      <c r="F911" s="303"/>
      <c r="G911" s="303"/>
      <c r="H911" s="306"/>
      <c r="I911" s="307"/>
      <c r="J911" s="307"/>
      <c r="K911" s="308"/>
      <c r="L911" s="308"/>
      <c r="M911" s="308"/>
      <c r="N911" s="308"/>
      <c r="O911" s="308"/>
      <c r="P911" s="309"/>
      <c r="Q911" s="310"/>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si="130"/>
        <v>0</v>
      </c>
      <c r="AB911" s="228" t="str">
        <f t="shared" si="131"/>
        <v/>
      </c>
    </row>
    <row r="912" spans="1:28" s="227" customFormat="1" ht="20.25">
      <c r="A912" s="311"/>
      <c r="B912" s="303"/>
      <c r="C912" s="304"/>
      <c r="D912" s="305"/>
      <c r="E912" s="303"/>
      <c r="F912" s="303"/>
      <c r="G912" s="303"/>
      <c r="H912" s="306"/>
      <c r="I912" s="307"/>
      <c r="J912" s="307"/>
      <c r="K912" s="308"/>
      <c r="L912" s="308"/>
      <c r="M912" s="308"/>
      <c r="N912" s="308"/>
      <c r="O912" s="308"/>
      <c r="P912" s="309"/>
      <c r="Q912" s="310"/>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si="130"/>
        <v>0</v>
      </c>
      <c r="AB912" s="228" t="str">
        <f t="shared" si="131"/>
        <v/>
      </c>
    </row>
    <row r="913" spans="1:28" s="227" customFormat="1" ht="20.25">
      <c r="A913" s="311"/>
      <c r="B913" s="303"/>
      <c r="C913" s="304"/>
      <c r="D913" s="305"/>
      <c r="E913" s="303"/>
      <c r="F913" s="303"/>
      <c r="G913" s="303"/>
      <c r="H913" s="306"/>
      <c r="I913" s="307"/>
      <c r="J913" s="307"/>
      <c r="K913" s="308"/>
      <c r="L913" s="308"/>
      <c r="M913" s="308"/>
      <c r="N913" s="308"/>
      <c r="O913" s="308"/>
      <c r="P913" s="309"/>
      <c r="Q913" s="310"/>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si="130"/>
        <v>0</v>
      </c>
      <c r="AB913" s="228" t="str">
        <f t="shared" si="131"/>
        <v/>
      </c>
    </row>
    <row r="914" spans="1:28" s="227" customFormat="1" ht="20.25">
      <c r="A914" s="311"/>
      <c r="B914" s="303"/>
      <c r="C914" s="304"/>
      <c r="D914" s="305"/>
      <c r="E914" s="303"/>
      <c r="F914" s="303"/>
      <c r="G914" s="303"/>
      <c r="H914" s="306"/>
      <c r="I914" s="307"/>
      <c r="J914" s="307"/>
      <c r="K914" s="308"/>
      <c r="L914" s="308"/>
      <c r="M914" s="308"/>
      <c r="N914" s="308"/>
      <c r="O914" s="308"/>
      <c r="P914" s="309"/>
      <c r="Q914" s="310"/>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si="130"/>
        <v>0</v>
      </c>
      <c r="AB914" s="228" t="str">
        <f t="shared" si="131"/>
        <v/>
      </c>
    </row>
    <row r="915" spans="1:28" s="227" customFormat="1" ht="20.25">
      <c r="A915" s="311"/>
      <c r="B915" s="303"/>
      <c r="C915" s="304"/>
      <c r="D915" s="305"/>
      <c r="E915" s="303"/>
      <c r="F915" s="303"/>
      <c r="G915" s="303"/>
      <c r="H915" s="306"/>
      <c r="I915" s="307"/>
      <c r="J915" s="307"/>
      <c r="K915" s="308"/>
      <c r="L915" s="308"/>
      <c r="M915" s="308"/>
      <c r="N915" s="308"/>
      <c r="O915" s="308"/>
      <c r="P915" s="309"/>
      <c r="Q915" s="310"/>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si="130"/>
        <v>0</v>
      </c>
      <c r="AB915" s="228" t="str">
        <f t="shared" si="131"/>
        <v/>
      </c>
    </row>
    <row r="916" spans="1:28" s="227" customFormat="1" ht="20.25">
      <c r="A916" s="311"/>
      <c r="B916" s="303"/>
      <c r="C916" s="304"/>
      <c r="D916" s="305"/>
      <c r="E916" s="303"/>
      <c r="F916" s="303"/>
      <c r="G916" s="303"/>
      <c r="H916" s="306"/>
      <c r="I916" s="307"/>
      <c r="J916" s="307"/>
      <c r="K916" s="308"/>
      <c r="L916" s="308"/>
      <c r="M916" s="308"/>
      <c r="N916" s="308"/>
      <c r="O916" s="308"/>
      <c r="P916" s="309"/>
      <c r="Q916" s="310"/>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si="130"/>
        <v>0</v>
      </c>
      <c r="AB916" s="228" t="str">
        <f t="shared" si="131"/>
        <v/>
      </c>
    </row>
    <row r="917" spans="1:28" s="227" customFormat="1" ht="20.25">
      <c r="A917" s="311"/>
      <c r="B917" s="303"/>
      <c r="C917" s="304"/>
      <c r="D917" s="305"/>
      <c r="E917" s="303"/>
      <c r="F917" s="303"/>
      <c r="G917" s="303"/>
      <c r="H917" s="306"/>
      <c r="I917" s="307"/>
      <c r="J917" s="307"/>
      <c r="K917" s="308"/>
      <c r="L917" s="308"/>
      <c r="M917" s="308"/>
      <c r="N917" s="308"/>
      <c r="O917" s="308"/>
      <c r="P917" s="309"/>
      <c r="Q917" s="310"/>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si="130"/>
        <v>0</v>
      </c>
      <c r="AB917" s="228" t="str">
        <f t="shared" si="131"/>
        <v/>
      </c>
    </row>
    <row r="918" spans="1:28" s="227" customFormat="1" ht="20.25">
      <c r="A918" s="311"/>
      <c r="B918" s="303"/>
      <c r="C918" s="304"/>
      <c r="D918" s="305"/>
      <c r="E918" s="303"/>
      <c r="F918" s="303"/>
      <c r="G918" s="303"/>
      <c r="H918" s="306"/>
      <c r="I918" s="307"/>
      <c r="J918" s="307"/>
      <c r="K918" s="308"/>
      <c r="L918" s="308"/>
      <c r="M918" s="308"/>
      <c r="N918" s="308"/>
      <c r="O918" s="308"/>
      <c r="P918" s="309"/>
      <c r="Q918" s="310"/>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si="130"/>
        <v>0</v>
      </c>
      <c r="AB918" s="228" t="str">
        <f t="shared" si="131"/>
        <v/>
      </c>
    </row>
    <row r="919" spans="1:28" s="227" customFormat="1" ht="20.25">
      <c r="A919" s="311"/>
      <c r="B919" s="303"/>
      <c r="C919" s="304"/>
      <c r="D919" s="305"/>
      <c r="E919" s="303"/>
      <c r="F919" s="303"/>
      <c r="G919" s="303"/>
      <c r="H919" s="306"/>
      <c r="I919" s="307"/>
      <c r="J919" s="307"/>
      <c r="K919" s="308"/>
      <c r="L919" s="308"/>
      <c r="M919" s="308"/>
      <c r="N919" s="308"/>
      <c r="O919" s="308"/>
      <c r="P919" s="309"/>
      <c r="Q919" s="310"/>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si="130"/>
        <v>0</v>
      </c>
      <c r="AB919" s="228" t="str">
        <f t="shared" si="131"/>
        <v/>
      </c>
    </row>
    <row r="920" spans="1:28" s="227" customFormat="1" ht="20.25">
      <c r="A920" s="311"/>
      <c r="B920" s="303"/>
      <c r="C920" s="304"/>
      <c r="D920" s="305"/>
      <c r="E920" s="303"/>
      <c r="F920" s="303"/>
      <c r="G920" s="303"/>
      <c r="H920" s="306"/>
      <c r="I920" s="307"/>
      <c r="J920" s="307"/>
      <c r="K920" s="308"/>
      <c r="L920" s="308"/>
      <c r="M920" s="308"/>
      <c r="N920" s="308"/>
      <c r="O920" s="308"/>
      <c r="P920" s="309"/>
      <c r="Q920" s="310"/>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si="130"/>
        <v>0</v>
      </c>
      <c r="AB920" s="228" t="str">
        <f t="shared" si="131"/>
        <v/>
      </c>
    </row>
    <row r="921" spans="1:28" s="227" customFormat="1" ht="20.25">
      <c r="A921" s="311"/>
      <c r="B921" s="303"/>
      <c r="C921" s="304"/>
      <c r="D921" s="305"/>
      <c r="E921" s="303"/>
      <c r="F921" s="303"/>
      <c r="G921" s="303"/>
      <c r="H921" s="306"/>
      <c r="I921" s="307"/>
      <c r="J921" s="307"/>
      <c r="K921" s="308"/>
      <c r="L921" s="308"/>
      <c r="M921" s="308"/>
      <c r="N921" s="308"/>
      <c r="O921" s="308"/>
      <c r="P921" s="309"/>
      <c r="Q921" s="310"/>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si="130"/>
        <v>0</v>
      </c>
      <c r="AB921" s="228" t="str">
        <f t="shared" si="131"/>
        <v/>
      </c>
    </row>
    <row r="922" spans="1:28" s="227" customFormat="1" ht="20.25">
      <c r="A922" s="311"/>
      <c r="B922" s="303"/>
      <c r="C922" s="304"/>
      <c r="D922" s="305"/>
      <c r="E922" s="303"/>
      <c r="F922" s="303"/>
      <c r="G922" s="303"/>
      <c r="H922" s="306"/>
      <c r="I922" s="307"/>
      <c r="J922" s="307"/>
      <c r="K922" s="308"/>
      <c r="L922" s="308"/>
      <c r="M922" s="308"/>
      <c r="N922" s="308"/>
      <c r="O922" s="308"/>
      <c r="P922" s="309"/>
      <c r="Q922" s="310"/>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si="130"/>
        <v>0</v>
      </c>
      <c r="AB922" s="228" t="str">
        <f t="shared" si="131"/>
        <v/>
      </c>
    </row>
    <row r="923" spans="1:28" s="227" customFormat="1" ht="20.25">
      <c r="A923" s="311"/>
      <c r="B923" s="303"/>
      <c r="C923" s="304"/>
      <c r="D923" s="305"/>
      <c r="E923" s="303"/>
      <c r="F923" s="303"/>
      <c r="G923" s="303"/>
      <c r="H923" s="306"/>
      <c r="I923" s="307"/>
      <c r="J923" s="307"/>
      <c r="K923" s="308"/>
      <c r="L923" s="308"/>
      <c r="M923" s="308"/>
      <c r="N923" s="308"/>
      <c r="O923" s="308"/>
      <c r="P923" s="309"/>
      <c r="Q923" s="310"/>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si="130"/>
        <v>0</v>
      </c>
      <c r="AB923" s="228" t="str">
        <f t="shared" si="131"/>
        <v/>
      </c>
    </row>
    <row r="924" spans="1:28" s="227" customFormat="1" ht="20.25">
      <c r="A924" s="311"/>
      <c r="B924" s="303"/>
      <c r="C924" s="304"/>
      <c r="D924" s="305"/>
      <c r="E924" s="303"/>
      <c r="F924" s="303"/>
      <c r="G924" s="303"/>
      <c r="H924" s="306"/>
      <c r="I924" s="307"/>
      <c r="J924" s="307"/>
      <c r="K924" s="308"/>
      <c r="L924" s="308"/>
      <c r="M924" s="308"/>
      <c r="N924" s="308"/>
      <c r="O924" s="308"/>
      <c r="P924" s="309"/>
      <c r="Q924" s="310"/>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si="133">IF(AND(C924="Smelter not listed",OR(LEN(D924)=0,LEN(E924)=0)),1,0)</f>
        <v>0</v>
      </c>
      <c r="AB924" s="228" t="str">
        <f t="shared" ref="AB924:AB954" si="134">B924&amp;C924</f>
        <v/>
      </c>
    </row>
    <row r="925" spans="1:28" s="227" customFormat="1" ht="20.25">
      <c r="A925" s="311"/>
      <c r="B925" s="303"/>
      <c r="C925" s="304"/>
      <c r="D925" s="305"/>
      <c r="E925" s="303"/>
      <c r="F925" s="303"/>
      <c r="G925" s="303"/>
      <c r="H925" s="306"/>
      <c r="I925" s="307"/>
      <c r="J925" s="307"/>
      <c r="K925" s="308"/>
      <c r="L925" s="308"/>
      <c r="M925" s="308"/>
      <c r="N925" s="308"/>
      <c r="O925" s="308"/>
      <c r="P925" s="309"/>
      <c r="Q925" s="310"/>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si="133"/>
        <v>0</v>
      </c>
      <c r="AB925" s="228" t="str">
        <f t="shared" si="134"/>
        <v/>
      </c>
    </row>
    <row r="926" spans="1:28" s="227" customFormat="1" ht="20.25">
      <c r="A926" s="311"/>
      <c r="B926" s="303"/>
      <c r="C926" s="304"/>
      <c r="D926" s="305"/>
      <c r="E926" s="303"/>
      <c r="F926" s="303"/>
      <c r="G926" s="303"/>
      <c r="H926" s="306"/>
      <c r="I926" s="307"/>
      <c r="J926" s="307"/>
      <c r="K926" s="308"/>
      <c r="L926" s="308"/>
      <c r="M926" s="308"/>
      <c r="N926" s="308"/>
      <c r="O926" s="308"/>
      <c r="P926" s="309"/>
      <c r="Q926" s="310"/>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si="133"/>
        <v>0</v>
      </c>
      <c r="AB926" s="228" t="str">
        <f t="shared" si="134"/>
        <v/>
      </c>
    </row>
    <row r="927" spans="1:28" s="227" customFormat="1" ht="20.25">
      <c r="A927" s="311"/>
      <c r="B927" s="303"/>
      <c r="C927" s="304"/>
      <c r="D927" s="305"/>
      <c r="E927" s="303"/>
      <c r="F927" s="303"/>
      <c r="G927" s="303"/>
      <c r="H927" s="306"/>
      <c r="I927" s="307"/>
      <c r="J927" s="307"/>
      <c r="K927" s="308"/>
      <c r="L927" s="308"/>
      <c r="M927" s="308"/>
      <c r="N927" s="308"/>
      <c r="O927" s="308"/>
      <c r="P927" s="309"/>
      <c r="Q927" s="310"/>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si="133"/>
        <v>0</v>
      </c>
      <c r="AB927" s="228" t="str">
        <f t="shared" si="134"/>
        <v/>
      </c>
    </row>
    <row r="928" spans="1:28" s="227" customFormat="1" ht="20.25">
      <c r="A928" s="311"/>
      <c r="B928" s="303"/>
      <c r="C928" s="304"/>
      <c r="D928" s="305"/>
      <c r="E928" s="303"/>
      <c r="F928" s="303"/>
      <c r="G928" s="303"/>
      <c r="H928" s="306"/>
      <c r="I928" s="307"/>
      <c r="J928" s="307"/>
      <c r="K928" s="308"/>
      <c r="L928" s="308"/>
      <c r="M928" s="308"/>
      <c r="N928" s="308"/>
      <c r="O928" s="308"/>
      <c r="P928" s="309"/>
      <c r="Q928" s="310"/>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si="133"/>
        <v>0</v>
      </c>
      <c r="AB928" s="228" t="str">
        <f t="shared" si="134"/>
        <v/>
      </c>
    </row>
    <row r="929" spans="1:28" s="227" customFormat="1" ht="20.25">
      <c r="A929" s="311"/>
      <c r="B929" s="303"/>
      <c r="C929" s="304"/>
      <c r="D929" s="305"/>
      <c r="E929" s="303"/>
      <c r="F929" s="303"/>
      <c r="G929" s="303"/>
      <c r="H929" s="306"/>
      <c r="I929" s="307"/>
      <c r="J929" s="307"/>
      <c r="K929" s="308"/>
      <c r="L929" s="308"/>
      <c r="M929" s="308"/>
      <c r="N929" s="308"/>
      <c r="O929" s="308"/>
      <c r="P929" s="309"/>
      <c r="Q929" s="310"/>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si="133"/>
        <v>0</v>
      </c>
      <c r="AB929" s="228" t="str">
        <f t="shared" si="134"/>
        <v/>
      </c>
    </row>
    <row r="930" spans="1:28" s="227" customFormat="1" ht="20.25">
      <c r="A930" s="311"/>
      <c r="B930" s="303"/>
      <c r="C930" s="304"/>
      <c r="D930" s="305"/>
      <c r="E930" s="303"/>
      <c r="F930" s="303"/>
      <c r="G930" s="303"/>
      <c r="H930" s="306"/>
      <c r="I930" s="307"/>
      <c r="J930" s="307"/>
      <c r="K930" s="308"/>
      <c r="L930" s="308"/>
      <c r="M930" s="308"/>
      <c r="N930" s="308"/>
      <c r="O930" s="308"/>
      <c r="P930" s="309"/>
      <c r="Q930" s="310"/>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si="133"/>
        <v>0</v>
      </c>
      <c r="AB930" s="228" t="str">
        <f t="shared" si="134"/>
        <v/>
      </c>
    </row>
    <row r="931" spans="1:28" s="227" customFormat="1" ht="20.25">
      <c r="A931" s="311"/>
      <c r="B931" s="303"/>
      <c r="C931" s="304"/>
      <c r="D931" s="305"/>
      <c r="E931" s="303"/>
      <c r="F931" s="303"/>
      <c r="G931" s="303"/>
      <c r="H931" s="306"/>
      <c r="I931" s="307"/>
      <c r="J931" s="307"/>
      <c r="K931" s="308"/>
      <c r="L931" s="308"/>
      <c r="M931" s="308"/>
      <c r="N931" s="308"/>
      <c r="O931" s="308"/>
      <c r="P931" s="309"/>
      <c r="Q931" s="310"/>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si="133"/>
        <v>0</v>
      </c>
      <c r="AB931" s="228" t="str">
        <f t="shared" si="134"/>
        <v/>
      </c>
    </row>
    <row r="932" spans="1:28" s="227" customFormat="1" ht="20.25">
      <c r="A932" s="311"/>
      <c r="B932" s="303"/>
      <c r="C932" s="304"/>
      <c r="D932" s="305"/>
      <c r="E932" s="303"/>
      <c r="F932" s="303"/>
      <c r="G932" s="303"/>
      <c r="H932" s="306"/>
      <c r="I932" s="307"/>
      <c r="J932" s="307"/>
      <c r="K932" s="308"/>
      <c r="L932" s="308"/>
      <c r="M932" s="308"/>
      <c r="N932" s="308"/>
      <c r="O932" s="308"/>
      <c r="P932" s="309"/>
      <c r="Q932" s="310"/>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si="133"/>
        <v>0</v>
      </c>
      <c r="AB932" s="228" t="str">
        <f t="shared" si="134"/>
        <v/>
      </c>
    </row>
    <row r="933" spans="1:28" s="227" customFormat="1" ht="20.25">
      <c r="A933" s="311"/>
      <c r="B933" s="303"/>
      <c r="C933" s="304"/>
      <c r="D933" s="305"/>
      <c r="E933" s="303"/>
      <c r="F933" s="303"/>
      <c r="G933" s="303"/>
      <c r="H933" s="306"/>
      <c r="I933" s="307"/>
      <c r="J933" s="307"/>
      <c r="K933" s="308"/>
      <c r="L933" s="308"/>
      <c r="M933" s="308"/>
      <c r="N933" s="308"/>
      <c r="O933" s="308"/>
      <c r="P933" s="309"/>
      <c r="Q933" s="310"/>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si="133"/>
        <v>0</v>
      </c>
      <c r="AB933" s="228" t="str">
        <f t="shared" si="134"/>
        <v/>
      </c>
    </row>
    <row r="934" spans="1:28" s="227" customFormat="1" ht="20.25">
      <c r="A934" s="311"/>
      <c r="B934" s="303"/>
      <c r="C934" s="304"/>
      <c r="D934" s="305"/>
      <c r="E934" s="303"/>
      <c r="F934" s="303"/>
      <c r="G934" s="303"/>
      <c r="H934" s="306"/>
      <c r="I934" s="307"/>
      <c r="J934" s="307"/>
      <c r="K934" s="308"/>
      <c r="L934" s="308"/>
      <c r="M934" s="308"/>
      <c r="N934" s="308"/>
      <c r="O934" s="308"/>
      <c r="P934" s="309"/>
      <c r="Q934" s="310"/>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si="133"/>
        <v>0</v>
      </c>
      <c r="AB934" s="228" t="str">
        <f t="shared" si="134"/>
        <v/>
      </c>
    </row>
    <row r="935" spans="1:28" s="227" customFormat="1" ht="20.25">
      <c r="A935" s="311"/>
      <c r="B935" s="303"/>
      <c r="C935" s="304"/>
      <c r="D935" s="305"/>
      <c r="E935" s="303"/>
      <c r="F935" s="303"/>
      <c r="G935" s="303"/>
      <c r="H935" s="306"/>
      <c r="I935" s="307"/>
      <c r="J935" s="307"/>
      <c r="K935" s="308"/>
      <c r="L935" s="308"/>
      <c r="M935" s="308"/>
      <c r="N935" s="308"/>
      <c r="O935" s="308"/>
      <c r="P935" s="309"/>
      <c r="Q935" s="310"/>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si="133"/>
        <v>0</v>
      </c>
      <c r="AB935" s="228" t="str">
        <f t="shared" si="134"/>
        <v/>
      </c>
    </row>
    <row r="936" spans="1:28" s="227" customFormat="1" ht="20.25">
      <c r="A936" s="311"/>
      <c r="B936" s="303"/>
      <c r="C936" s="304"/>
      <c r="D936" s="305"/>
      <c r="E936" s="303"/>
      <c r="F936" s="303"/>
      <c r="G936" s="303"/>
      <c r="H936" s="306"/>
      <c r="I936" s="307"/>
      <c r="J936" s="307"/>
      <c r="K936" s="308"/>
      <c r="L936" s="308"/>
      <c r="M936" s="308"/>
      <c r="N936" s="308"/>
      <c r="O936" s="308"/>
      <c r="P936" s="309"/>
      <c r="Q936" s="310"/>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si="133"/>
        <v>0</v>
      </c>
      <c r="AB936" s="228" t="str">
        <f t="shared" si="134"/>
        <v/>
      </c>
    </row>
    <row r="937" spans="1:28" s="227" customFormat="1" ht="20.25">
      <c r="A937" s="311"/>
      <c r="B937" s="303"/>
      <c r="C937" s="304"/>
      <c r="D937" s="305"/>
      <c r="E937" s="303"/>
      <c r="F937" s="303"/>
      <c r="G937" s="303"/>
      <c r="H937" s="306"/>
      <c r="I937" s="307"/>
      <c r="J937" s="307"/>
      <c r="K937" s="308"/>
      <c r="L937" s="308"/>
      <c r="M937" s="308"/>
      <c r="N937" s="308"/>
      <c r="O937" s="308"/>
      <c r="P937" s="309"/>
      <c r="Q937" s="310"/>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si="133"/>
        <v>0</v>
      </c>
      <c r="AB937" s="228" t="str">
        <f t="shared" si="134"/>
        <v/>
      </c>
    </row>
    <row r="938" spans="1:28" s="227" customFormat="1" ht="20.25">
      <c r="A938" s="311"/>
      <c r="B938" s="303"/>
      <c r="C938" s="304"/>
      <c r="D938" s="305"/>
      <c r="E938" s="303"/>
      <c r="F938" s="303"/>
      <c r="G938" s="303"/>
      <c r="H938" s="306"/>
      <c r="I938" s="307"/>
      <c r="J938" s="307"/>
      <c r="K938" s="308"/>
      <c r="L938" s="308"/>
      <c r="M938" s="308"/>
      <c r="N938" s="308"/>
      <c r="O938" s="308"/>
      <c r="P938" s="309"/>
      <c r="Q938" s="310"/>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si="133"/>
        <v>0</v>
      </c>
      <c r="AB938" s="228" t="str">
        <f t="shared" si="134"/>
        <v/>
      </c>
    </row>
    <row r="939" spans="1:28" s="227" customFormat="1" ht="20.25">
      <c r="A939" s="311"/>
      <c r="B939" s="303"/>
      <c r="C939" s="304"/>
      <c r="D939" s="305"/>
      <c r="E939" s="303"/>
      <c r="F939" s="303"/>
      <c r="G939" s="303"/>
      <c r="H939" s="306"/>
      <c r="I939" s="307"/>
      <c r="J939" s="307"/>
      <c r="K939" s="308"/>
      <c r="L939" s="308"/>
      <c r="M939" s="308"/>
      <c r="N939" s="308"/>
      <c r="O939" s="308"/>
      <c r="P939" s="309"/>
      <c r="Q939" s="310"/>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si="133"/>
        <v>0</v>
      </c>
      <c r="AB939" s="228" t="str">
        <f t="shared" si="134"/>
        <v/>
      </c>
    </row>
    <row r="940" spans="1:28" s="227" customFormat="1" ht="20.25">
      <c r="A940" s="311"/>
      <c r="B940" s="303"/>
      <c r="C940" s="304"/>
      <c r="D940" s="305"/>
      <c r="E940" s="303"/>
      <c r="F940" s="303"/>
      <c r="G940" s="303"/>
      <c r="H940" s="306"/>
      <c r="I940" s="307"/>
      <c r="J940" s="307"/>
      <c r="K940" s="308"/>
      <c r="L940" s="308"/>
      <c r="M940" s="308"/>
      <c r="N940" s="308"/>
      <c r="O940" s="308"/>
      <c r="P940" s="309"/>
      <c r="Q940" s="310"/>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si="133"/>
        <v>0</v>
      </c>
      <c r="AB940" s="228" t="str">
        <f t="shared" si="134"/>
        <v/>
      </c>
    </row>
    <row r="941" spans="1:28" s="227" customFormat="1" ht="20.25">
      <c r="A941" s="181"/>
      <c r="B941" s="182"/>
      <c r="C941" s="186"/>
      <c r="D941" s="230"/>
      <c r="E941" s="182"/>
      <c r="F941" s="182"/>
      <c r="G941" s="182"/>
      <c r="H941" s="183"/>
      <c r="I941" s="184"/>
      <c r="J941" s="184"/>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si="133"/>
        <v>0</v>
      </c>
      <c r="AB941" s="228" t="str">
        <f t="shared" si="134"/>
        <v/>
      </c>
    </row>
    <row r="942" spans="1:28" s="227" customFormat="1" ht="20.25">
      <c r="A942" s="312"/>
      <c r="B942" s="313"/>
      <c r="C942" s="314"/>
      <c r="D942" s="315"/>
      <c r="E942" s="313"/>
      <c r="F942" s="313"/>
      <c r="G942" s="313"/>
      <c r="H942" s="316"/>
      <c r="I942" s="317"/>
      <c r="J942" s="317"/>
      <c r="K942" s="318"/>
      <c r="L942" s="318"/>
      <c r="M942" s="318"/>
      <c r="N942" s="318"/>
      <c r="O942" s="318"/>
      <c r="P942" s="319"/>
      <c r="Q942" s="320"/>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si="133"/>
        <v>0</v>
      </c>
      <c r="AB942" s="228" t="str">
        <f t="shared" si="134"/>
        <v/>
      </c>
    </row>
    <row r="943" spans="1:28" s="227" customFormat="1" ht="20.25">
      <c r="A943" s="312"/>
      <c r="B943" s="313"/>
      <c r="C943" s="314"/>
      <c r="D943" s="315"/>
      <c r="E943" s="313"/>
      <c r="F943" s="313"/>
      <c r="G943" s="313"/>
      <c r="H943" s="316"/>
      <c r="I943" s="317"/>
      <c r="J943" s="317"/>
      <c r="K943" s="318"/>
      <c r="L943" s="318"/>
      <c r="M943" s="318"/>
      <c r="N943" s="318"/>
      <c r="O943" s="318"/>
      <c r="P943" s="319"/>
      <c r="Q943" s="320"/>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si="133"/>
        <v>0</v>
      </c>
      <c r="AB943" s="228" t="str">
        <f t="shared" si="134"/>
        <v/>
      </c>
    </row>
    <row r="944" spans="1:28" s="227" customFormat="1" ht="20.25">
      <c r="A944" s="312"/>
      <c r="B944" s="313"/>
      <c r="C944" s="314"/>
      <c r="D944" s="315"/>
      <c r="E944" s="313"/>
      <c r="F944" s="313"/>
      <c r="G944" s="313"/>
      <c r="H944" s="316"/>
      <c r="I944" s="317"/>
      <c r="J944" s="317"/>
      <c r="K944" s="318"/>
      <c r="L944" s="318"/>
      <c r="M944" s="318"/>
      <c r="N944" s="318"/>
      <c r="O944" s="318"/>
      <c r="P944" s="319"/>
      <c r="Q944" s="320"/>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si="133"/>
        <v>0</v>
      </c>
      <c r="AB944" s="228" t="str">
        <f t="shared" si="134"/>
        <v/>
      </c>
    </row>
    <row r="945" spans="1:28" s="227" customFormat="1" ht="20.25">
      <c r="A945" s="312"/>
      <c r="B945" s="313"/>
      <c r="C945" s="314"/>
      <c r="D945" s="315"/>
      <c r="E945" s="313"/>
      <c r="F945" s="313"/>
      <c r="G945" s="313"/>
      <c r="H945" s="316"/>
      <c r="I945" s="317"/>
      <c r="J945" s="317"/>
      <c r="K945" s="318"/>
      <c r="L945" s="318"/>
      <c r="M945" s="318"/>
      <c r="N945" s="318"/>
      <c r="O945" s="318"/>
      <c r="P945" s="319"/>
      <c r="Q945" s="320"/>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si="133"/>
        <v>0</v>
      </c>
      <c r="AB945" s="228" t="str">
        <f t="shared" si="134"/>
        <v/>
      </c>
    </row>
    <row r="946" spans="1:28" s="227" customFormat="1" ht="20.25">
      <c r="A946" s="312"/>
      <c r="B946" s="313"/>
      <c r="C946" s="314"/>
      <c r="D946" s="315"/>
      <c r="E946" s="313"/>
      <c r="F946" s="313"/>
      <c r="G946" s="313"/>
      <c r="H946" s="316"/>
      <c r="I946" s="317"/>
      <c r="J946" s="317"/>
      <c r="K946" s="318"/>
      <c r="L946" s="318"/>
      <c r="M946" s="318"/>
      <c r="N946" s="318"/>
      <c r="O946" s="318"/>
      <c r="P946" s="319"/>
      <c r="Q946" s="320"/>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si="133"/>
        <v>0</v>
      </c>
      <c r="AB946" s="228" t="str">
        <f t="shared" si="134"/>
        <v/>
      </c>
    </row>
    <row r="947" spans="1:28" s="227" customFormat="1" ht="20.25">
      <c r="A947" s="312"/>
      <c r="B947" s="313"/>
      <c r="C947" s="314"/>
      <c r="D947" s="315"/>
      <c r="E947" s="313"/>
      <c r="F947" s="313"/>
      <c r="G947" s="313"/>
      <c r="H947" s="316"/>
      <c r="I947" s="317"/>
      <c r="J947" s="317"/>
      <c r="K947" s="318"/>
      <c r="L947" s="318"/>
      <c r="M947" s="318"/>
      <c r="N947" s="318"/>
      <c r="O947" s="318"/>
      <c r="P947" s="319"/>
      <c r="Q947" s="320"/>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si="133"/>
        <v>0</v>
      </c>
      <c r="AB947" s="228" t="str">
        <f t="shared" si="134"/>
        <v/>
      </c>
    </row>
    <row r="948" spans="1:28" s="227" customFormat="1" ht="20.25">
      <c r="A948" s="312"/>
      <c r="B948" s="313"/>
      <c r="C948" s="314"/>
      <c r="D948" s="315"/>
      <c r="E948" s="313"/>
      <c r="F948" s="313"/>
      <c r="G948" s="313"/>
      <c r="H948" s="316"/>
      <c r="I948" s="317"/>
      <c r="J948" s="317"/>
      <c r="K948" s="318"/>
      <c r="L948" s="318"/>
      <c r="M948" s="318"/>
      <c r="N948" s="318"/>
      <c r="O948" s="318"/>
      <c r="P948" s="319"/>
      <c r="Q948" s="320"/>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si="133"/>
        <v>0</v>
      </c>
      <c r="AB948" s="228" t="str">
        <f t="shared" si="134"/>
        <v/>
      </c>
    </row>
    <row r="949" spans="1:28" s="227" customFormat="1" ht="20.25">
      <c r="A949" s="312"/>
      <c r="B949" s="313"/>
      <c r="C949" s="314"/>
      <c r="D949" s="315"/>
      <c r="E949" s="313"/>
      <c r="F949" s="313"/>
      <c r="G949" s="313"/>
      <c r="H949" s="316"/>
      <c r="I949" s="317"/>
      <c r="J949" s="317"/>
      <c r="K949" s="318"/>
      <c r="L949" s="318"/>
      <c r="M949" s="318"/>
      <c r="N949" s="318"/>
      <c r="O949" s="318"/>
      <c r="P949" s="319"/>
      <c r="Q949" s="320"/>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si="133"/>
        <v>0</v>
      </c>
      <c r="AB949" s="228" t="str">
        <f t="shared" si="134"/>
        <v/>
      </c>
    </row>
    <row r="950" spans="1:28" s="227" customFormat="1" ht="20.25">
      <c r="A950" s="312"/>
      <c r="B950" s="313"/>
      <c r="C950" s="314"/>
      <c r="D950" s="315"/>
      <c r="E950" s="313"/>
      <c r="F950" s="313"/>
      <c r="G950" s="313"/>
      <c r="H950" s="316"/>
      <c r="I950" s="317"/>
      <c r="J950" s="317"/>
      <c r="K950" s="318"/>
      <c r="L950" s="318"/>
      <c r="M950" s="318"/>
      <c r="N950" s="318"/>
      <c r="O950" s="318"/>
      <c r="P950" s="319"/>
      <c r="Q950" s="320"/>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si="133"/>
        <v>0</v>
      </c>
      <c r="AB950" s="228" t="str">
        <f t="shared" si="134"/>
        <v/>
      </c>
    </row>
    <row r="951" spans="1:28" s="227" customFormat="1" ht="20.25">
      <c r="A951" s="312"/>
      <c r="B951" s="313"/>
      <c r="C951" s="314"/>
      <c r="D951" s="315"/>
      <c r="E951" s="313"/>
      <c r="F951" s="313"/>
      <c r="G951" s="313"/>
      <c r="H951" s="316"/>
      <c r="I951" s="317"/>
      <c r="J951" s="317"/>
      <c r="K951" s="318"/>
      <c r="L951" s="318"/>
      <c r="M951" s="318"/>
      <c r="N951" s="318"/>
      <c r="O951" s="318"/>
      <c r="P951" s="319"/>
      <c r="Q951" s="320"/>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si="133"/>
        <v>0</v>
      </c>
      <c r="AB951" s="228" t="str">
        <f t="shared" si="134"/>
        <v/>
      </c>
    </row>
    <row r="952" spans="1:28" s="227" customFormat="1" ht="20.25">
      <c r="A952" s="312"/>
      <c r="B952" s="313"/>
      <c r="C952" s="314"/>
      <c r="D952" s="315"/>
      <c r="E952" s="313"/>
      <c r="F952" s="313"/>
      <c r="G952" s="313"/>
      <c r="H952" s="316"/>
      <c r="I952" s="317"/>
      <c r="J952" s="317"/>
      <c r="K952" s="318"/>
      <c r="L952" s="318"/>
      <c r="M952" s="318"/>
      <c r="N952" s="318"/>
      <c r="O952" s="318"/>
      <c r="P952" s="319"/>
      <c r="Q952" s="320"/>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si="133"/>
        <v>0</v>
      </c>
      <c r="AB952" s="228" t="str">
        <f t="shared" si="134"/>
        <v/>
      </c>
    </row>
    <row r="953" spans="1:28" s="227" customFormat="1" ht="20.25">
      <c r="A953" s="312"/>
      <c r="B953" s="313"/>
      <c r="C953" s="314"/>
      <c r="D953" s="315"/>
      <c r="E953" s="313"/>
      <c r="F953" s="313"/>
      <c r="G953" s="313"/>
      <c r="H953" s="316"/>
      <c r="I953" s="317"/>
      <c r="J953" s="317"/>
      <c r="K953" s="318"/>
      <c r="L953" s="318"/>
      <c r="M953" s="318"/>
      <c r="N953" s="318"/>
      <c r="O953" s="318"/>
      <c r="P953" s="319"/>
      <c r="Q953" s="320"/>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si="133"/>
        <v>0</v>
      </c>
      <c r="AB953" s="228" t="str">
        <f t="shared" si="134"/>
        <v/>
      </c>
    </row>
    <row r="954" spans="1:28" s="227" customFormat="1" ht="20.25">
      <c r="A954" s="312"/>
      <c r="B954" s="313"/>
      <c r="C954" s="314"/>
      <c r="D954" s="315"/>
      <c r="E954" s="313"/>
      <c r="F954" s="313"/>
      <c r="G954" s="313"/>
      <c r="H954" s="316"/>
      <c r="I954" s="317"/>
      <c r="J954" s="317"/>
      <c r="K954" s="318"/>
      <c r="L954" s="318"/>
      <c r="M954" s="318"/>
      <c r="N954" s="318"/>
      <c r="O954" s="318"/>
      <c r="P954" s="319"/>
      <c r="Q954" s="320"/>
      <c r="R954" s="182" t="str">
        <f ca="1">IF(ISERROR($V954),"",OFFSET('Smelter Look-up'!$C$4,$V954-4,0)&amp;"")</f>
        <v/>
      </c>
      <c r="S954" s="181" t="str">
        <f t="shared" ca="1" si="13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si="133"/>
        <v>0</v>
      </c>
      <c r="AB954" s="228" t="str">
        <f t="shared" si="134"/>
        <v/>
      </c>
    </row>
    <row r="955" spans="1:28" s="227" customFormat="1" ht="20.25">
      <c r="A955" s="321"/>
      <c r="B955" s="313"/>
      <c r="C955" s="314"/>
      <c r="D955" s="315"/>
      <c r="E955" s="313"/>
      <c r="F955" s="313"/>
      <c r="G955" s="313"/>
      <c r="H955" s="316"/>
      <c r="I955" s="317"/>
      <c r="J955" s="317"/>
      <c r="K955" s="318"/>
      <c r="L955" s="318"/>
      <c r="M955" s="318"/>
      <c r="N955" s="318"/>
      <c r="O955" s="318"/>
      <c r="P955" s="319"/>
      <c r="Q955" s="320"/>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si="136">IF(AND(C955="Smelter not listed",OR(LEN(D955)=0,LEN(E955)=0)),1,0)</f>
        <v>0</v>
      </c>
      <c r="AB955" s="228" t="str">
        <f t="shared" ref="AB955" si="137">B955&amp;C955</f>
        <v/>
      </c>
    </row>
    <row r="956" spans="1:28" s="227" customFormat="1" ht="20.25">
      <c r="A956" s="321"/>
      <c r="B956" s="313"/>
      <c r="C956" s="314"/>
      <c r="D956" s="315"/>
      <c r="E956" s="313"/>
      <c r="F956" s="313"/>
      <c r="G956" s="313"/>
      <c r="H956" s="316"/>
      <c r="I956" s="317"/>
      <c r="J956" s="317"/>
      <c r="K956" s="318"/>
      <c r="L956" s="318"/>
      <c r="M956" s="318"/>
      <c r="N956" s="318"/>
      <c r="O956" s="318"/>
      <c r="P956" s="319"/>
      <c r="Q956" s="320"/>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si="139">IF(AND(C956="Smelter not listed",OR(LEN(D956)=0,LEN(E956)=0)),1,0)</f>
        <v>0</v>
      </c>
      <c r="AB956" s="228" t="str">
        <f t="shared" ref="AB956:AB987" si="140">B956&amp;C956</f>
        <v/>
      </c>
    </row>
    <row r="957" spans="1:28" s="227" customFormat="1" ht="20.25">
      <c r="A957" s="321"/>
      <c r="B957" s="313"/>
      <c r="C957" s="314"/>
      <c r="D957" s="315"/>
      <c r="E957" s="313"/>
      <c r="F957" s="313"/>
      <c r="G957" s="313"/>
      <c r="H957" s="316"/>
      <c r="I957" s="317"/>
      <c r="J957" s="317"/>
      <c r="K957" s="318"/>
      <c r="L957" s="318"/>
      <c r="M957" s="318"/>
      <c r="N957" s="318"/>
      <c r="O957" s="318"/>
      <c r="P957" s="319"/>
      <c r="Q957" s="320"/>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si="139"/>
        <v>0</v>
      </c>
      <c r="AB957" s="228" t="str">
        <f t="shared" si="140"/>
        <v/>
      </c>
    </row>
    <row r="958" spans="1:28" s="227" customFormat="1" ht="20.25">
      <c r="A958" s="321"/>
      <c r="B958" s="313"/>
      <c r="C958" s="314"/>
      <c r="D958" s="315"/>
      <c r="E958" s="313"/>
      <c r="F958" s="313"/>
      <c r="G958" s="313"/>
      <c r="H958" s="316"/>
      <c r="I958" s="317"/>
      <c r="J958" s="317"/>
      <c r="K958" s="318"/>
      <c r="L958" s="318"/>
      <c r="M958" s="318"/>
      <c r="N958" s="318"/>
      <c r="O958" s="318"/>
      <c r="P958" s="319"/>
      <c r="Q958" s="320"/>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si="139"/>
        <v>0</v>
      </c>
      <c r="AB958" s="228" t="str">
        <f t="shared" si="140"/>
        <v/>
      </c>
    </row>
    <row r="959" spans="1:28" s="227" customFormat="1" ht="20.25">
      <c r="A959" s="321"/>
      <c r="B959" s="313"/>
      <c r="C959" s="314"/>
      <c r="D959" s="315"/>
      <c r="E959" s="313"/>
      <c r="F959" s="313"/>
      <c r="G959" s="313"/>
      <c r="H959" s="316"/>
      <c r="I959" s="317"/>
      <c r="J959" s="317"/>
      <c r="K959" s="318"/>
      <c r="L959" s="318"/>
      <c r="M959" s="318"/>
      <c r="N959" s="318"/>
      <c r="O959" s="318"/>
      <c r="P959" s="319"/>
      <c r="Q959" s="320"/>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si="139"/>
        <v>0</v>
      </c>
      <c r="AB959" s="228" t="str">
        <f t="shared" si="140"/>
        <v/>
      </c>
    </row>
    <row r="960" spans="1:28" s="227" customFormat="1" ht="20.25">
      <c r="A960" s="321"/>
      <c r="B960" s="313"/>
      <c r="C960" s="314"/>
      <c r="D960" s="315"/>
      <c r="E960" s="313"/>
      <c r="F960" s="313"/>
      <c r="G960" s="313"/>
      <c r="H960" s="316"/>
      <c r="I960" s="317"/>
      <c r="J960" s="317"/>
      <c r="K960" s="318"/>
      <c r="L960" s="318"/>
      <c r="M960" s="318"/>
      <c r="N960" s="318"/>
      <c r="O960" s="318"/>
      <c r="P960" s="319"/>
      <c r="Q960" s="320"/>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si="139"/>
        <v>0</v>
      </c>
      <c r="AB960" s="228" t="str">
        <f t="shared" si="140"/>
        <v/>
      </c>
    </row>
    <row r="961" spans="1:28" s="227" customFormat="1" ht="20.25">
      <c r="A961" s="321"/>
      <c r="B961" s="313"/>
      <c r="C961" s="314"/>
      <c r="D961" s="315"/>
      <c r="E961" s="313"/>
      <c r="F961" s="313"/>
      <c r="G961" s="313"/>
      <c r="H961" s="316"/>
      <c r="I961" s="317"/>
      <c r="J961" s="317"/>
      <c r="K961" s="318"/>
      <c r="L961" s="318"/>
      <c r="M961" s="318"/>
      <c r="N961" s="318"/>
      <c r="O961" s="318"/>
      <c r="P961" s="319"/>
      <c r="Q961" s="320"/>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si="139"/>
        <v>0</v>
      </c>
      <c r="AB961" s="228" t="str">
        <f t="shared" si="140"/>
        <v/>
      </c>
    </row>
    <row r="962" spans="1:28" s="227" customFormat="1" ht="20.25">
      <c r="A962" s="321"/>
      <c r="B962" s="313"/>
      <c r="C962" s="314"/>
      <c r="D962" s="315"/>
      <c r="E962" s="313"/>
      <c r="F962" s="313"/>
      <c r="G962" s="313"/>
      <c r="H962" s="316"/>
      <c r="I962" s="317"/>
      <c r="J962" s="317"/>
      <c r="K962" s="318"/>
      <c r="L962" s="318"/>
      <c r="M962" s="318"/>
      <c r="N962" s="318"/>
      <c r="O962" s="318"/>
      <c r="P962" s="319"/>
      <c r="Q962" s="320"/>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si="139"/>
        <v>0</v>
      </c>
      <c r="AB962" s="228" t="str">
        <f t="shared" si="140"/>
        <v/>
      </c>
    </row>
    <row r="963" spans="1:28" s="227" customFormat="1" ht="20.25">
      <c r="A963" s="321"/>
      <c r="B963" s="313"/>
      <c r="C963" s="314"/>
      <c r="D963" s="315"/>
      <c r="E963" s="313"/>
      <c r="F963" s="313"/>
      <c r="G963" s="313"/>
      <c r="H963" s="316"/>
      <c r="I963" s="317"/>
      <c r="J963" s="317"/>
      <c r="K963" s="318"/>
      <c r="L963" s="318"/>
      <c r="M963" s="318"/>
      <c r="N963" s="318"/>
      <c r="O963" s="318"/>
      <c r="P963" s="319"/>
      <c r="Q963" s="320"/>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si="139"/>
        <v>0</v>
      </c>
      <c r="AB963" s="228" t="str">
        <f t="shared" si="140"/>
        <v/>
      </c>
    </row>
    <row r="964" spans="1:28" s="227" customFormat="1" ht="20.25">
      <c r="A964" s="321"/>
      <c r="B964" s="313"/>
      <c r="C964" s="314"/>
      <c r="D964" s="315"/>
      <c r="E964" s="313"/>
      <c r="F964" s="313"/>
      <c r="G964" s="313"/>
      <c r="H964" s="316"/>
      <c r="I964" s="317"/>
      <c r="J964" s="317"/>
      <c r="K964" s="318"/>
      <c r="L964" s="318"/>
      <c r="M964" s="318"/>
      <c r="N964" s="318"/>
      <c r="O964" s="318"/>
      <c r="P964" s="319"/>
      <c r="Q964" s="320"/>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si="139"/>
        <v>0</v>
      </c>
      <c r="AB964" s="228" t="str">
        <f t="shared" si="140"/>
        <v/>
      </c>
    </row>
    <row r="965" spans="1:28" s="227" customFormat="1" ht="20.25">
      <c r="A965" s="321"/>
      <c r="B965" s="313"/>
      <c r="C965" s="314"/>
      <c r="D965" s="315"/>
      <c r="E965" s="313"/>
      <c r="F965" s="313"/>
      <c r="G965" s="313"/>
      <c r="H965" s="316"/>
      <c r="I965" s="317"/>
      <c r="J965" s="317"/>
      <c r="K965" s="318"/>
      <c r="L965" s="318"/>
      <c r="M965" s="318"/>
      <c r="N965" s="318"/>
      <c r="O965" s="318"/>
      <c r="P965" s="319"/>
      <c r="Q965" s="320"/>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si="139"/>
        <v>0</v>
      </c>
      <c r="AB965" s="228" t="str">
        <f t="shared" si="140"/>
        <v/>
      </c>
    </row>
    <row r="966" spans="1:28" s="227" customFormat="1" ht="20.25">
      <c r="A966" s="321"/>
      <c r="B966" s="313"/>
      <c r="C966" s="314"/>
      <c r="D966" s="315"/>
      <c r="E966" s="313"/>
      <c r="F966" s="313"/>
      <c r="G966" s="313"/>
      <c r="H966" s="316"/>
      <c r="I966" s="317"/>
      <c r="J966" s="317"/>
      <c r="K966" s="318"/>
      <c r="L966" s="318"/>
      <c r="M966" s="318"/>
      <c r="N966" s="318"/>
      <c r="O966" s="318"/>
      <c r="P966" s="319"/>
      <c r="Q966" s="320"/>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si="139"/>
        <v>0</v>
      </c>
      <c r="AB966" s="228" t="str">
        <f t="shared" si="140"/>
        <v/>
      </c>
    </row>
    <row r="967" spans="1:28" s="227" customFormat="1" ht="20.25">
      <c r="A967" s="321"/>
      <c r="B967" s="313"/>
      <c r="C967" s="314"/>
      <c r="D967" s="315"/>
      <c r="E967" s="313"/>
      <c r="F967" s="313"/>
      <c r="G967" s="313"/>
      <c r="H967" s="316"/>
      <c r="I967" s="317"/>
      <c r="J967" s="317"/>
      <c r="K967" s="318"/>
      <c r="L967" s="318"/>
      <c r="M967" s="318"/>
      <c r="N967" s="318"/>
      <c r="O967" s="318"/>
      <c r="P967" s="319"/>
      <c r="Q967" s="320"/>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si="139"/>
        <v>0</v>
      </c>
      <c r="AB967" s="228" t="str">
        <f t="shared" si="140"/>
        <v/>
      </c>
    </row>
    <row r="968" spans="1:28" s="227" customFormat="1" ht="20.25">
      <c r="A968" s="321"/>
      <c r="B968" s="313"/>
      <c r="C968" s="314"/>
      <c r="D968" s="315"/>
      <c r="E968" s="313"/>
      <c r="F968" s="313"/>
      <c r="G968" s="313"/>
      <c r="H968" s="316"/>
      <c r="I968" s="317"/>
      <c r="J968" s="317"/>
      <c r="K968" s="318"/>
      <c r="L968" s="318"/>
      <c r="M968" s="318"/>
      <c r="N968" s="318"/>
      <c r="O968" s="318"/>
      <c r="P968" s="319"/>
      <c r="Q968" s="320"/>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si="139"/>
        <v>0</v>
      </c>
      <c r="AB968" s="228" t="str">
        <f t="shared" si="140"/>
        <v/>
      </c>
    </row>
    <row r="969" spans="1:28" s="227" customFormat="1" ht="20.25">
      <c r="A969" s="321"/>
      <c r="B969" s="313"/>
      <c r="C969" s="314"/>
      <c r="D969" s="315"/>
      <c r="E969" s="313"/>
      <c r="F969" s="313"/>
      <c r="G969" s="313"/>
      <c r="H969" s="316"/>
      <c r="I969" s="317"/>
      <c r="J969" s="317"/>
      <c r="K969" s="318"/>
      <c r="L969" s="318"/>
      <c r="M969" s="318"/>
      <c r="N969" s="318"/>
      <c r="O969" s="318"/>
      <c r="P969" s="319"/>
      <c r="Q969" s="320"/>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si="139"/>
        <v>0</v>
      </c>
      <c r="AB969" s="228" t="str">
        <f t="shared" si="140"/>
        <v/>
      </c>
    </row>
    <row r="970" spans="1:28" s="227" customFormat="1" ht="20.25">
      <c r="A970" s="321"/>
      <c r="B970" s="313"/>
      <c r="C970" s="314"/>
      <c r="D970" s="315"/>
      <c r="E970" s="313"/>
      <c r="F970" s="313"/>
      <c r="G970" s="313"/>
      <c r="H970" s="316"/>
      <c r="I970" s="317"/>
      <c r="J970" s="317"/>
      <c r="K970" s="318"/>
      <c r="L970" s="318"/>
      <c r="M970" s="318"/>
      <c r="N970" s="318"/>
      <c r="O970" s="318"/>
      <c r="P970" s="319"/>
      <c r="Q970" s="320"/>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si="139"/>
        <v>0</v>
      </c>
      <c r="AB970" s="228" t="str">
        <f t="shared" si="140"/>
        <v/>
      </c>
    </row>
    <row r="971" spans="1:28" s="227" customFormat="1" ht="20.25">
      <c r="A971" s="321"/>
      <c r="B971" s="313"/>
      <c r="C971" s="314"/>
      <c r="D971" s="315"/>
      <c r="E971" s="313"/>
      <c r="F971" s="313"/>
      <c r="G971" s="313"/>
      <c r="H971" s="316"/>
      <c r="I971" s="317"/>
      <c r="J971" s="317"/>
      <c r="K971" s="318"/>
      <c r="L971" s="318"/>
      <c r="M971" s="318"/>
      <c r="N971" s="318"/>
      <c r="O971" s="318"/>
      <c r="P971" s="319"/>
      <c r="Q971" s="320"/>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si="139"/>
        <v>0</v>
      </c>
      <c r="AB971" s="228" t="str">
        <f t="shared" si="140"/>
        <v/>
      </c>
    </row>
    <row r="972" spans="1:28" s="227" customFormat="1" ht="20.25">
      <c r="A972" s="321"/>
      <c r="B972" s="313"/>
      <c r="C972" s="314"/>
      <c r="D972" s="315"/>
      <c r="E972" s="313"/>
      <c r="F972" s="313"/>
      <c r="G972" s="313"/>
      <c r="H972" s="316"/>
      <c r="I972" s="317"/>
      <c r="J972" s="317"/>
      <c r="K972" s="318"/>
      <c r="L972" s="318"/>
      <c r="M972" s="318"/>
      <c r="N972" s="318"/>
      <c r="O972" s="318"/>
      <c r="P972" s="319"/>
      <c r="Q972" s="320"/>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si="139"/>
        <v>0</v>
      </c>
      <c r="AB972" s="228" t="str">
        <f t="shared" si="140"/>
        <v/>
      </c>
    </row>
    <row r="973" spans="1:28" s="227" customFormat="1" ht="20.25">
      <c r="A973" s="321"/>
      <c r="B973" s="313"/>
      <c r="C973" s="314"/>
      <c r="D973" s="315"/>
      <c r="E973" s="313"/>
      <c r="F973" s="313"/>
      <c r="G973" s="313"/>
      <c r="H973" s="316"/>
      <c r="I973" s="317"/>
      <c r="J973" s="317"/>
      <c r="K973" s="318"/>
      <c r="L973" s="318"/>
      <c r="M973" s="318"/>
      <c r="N973" s="318"/>
      <c r="O973" s="318"/>
      <c r="P973" s="319"/>
      <c r="Q973" s="320"/>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si="139"/>
        <v>0</v>
      </c>
      <c r="AB973" s="228" t="str">
        <f t="shared" si="140"/>
        <v/>
      </c>
    </row>
    <row r="974" spans="1:28" s="227" customFormat="1" ht="20.25">
      <c r="A974" s="321"/>
      <c r="B974" s="313"/>
      <c r="C974" s="314"/>
      <c r="D974" s="315"/>
      <c r="E974" s="313"/>
      <c r="F974" s="313"/>
      <c r="G974" s="313"/>
      <c r="H974" s="316"/>
      <c r="I974" s="317"/>
      <c r="J974" s="317"/>
      <c r="K974" s="318"/>
      <c r="L974" s="318"/>
      <c r="M974" s="318"/>
      <c r="N974" s="318"/>
      <c r="O974" s="318"/>
      <c r="P974" s="319"/>
      <c r="Q974" s="320"/>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si="139"/>
        <v>0</v>
      </c>
      <c r="AB974" s="228" t="str">
        <f t="shared" si="140"/>
        <v/>
      </c>
    </row>
    <row r="975" spans="1:28" s="227" customFormat="1" ht="20.25">
      <c r="A975" s="321"/>
      <c r="B975" s="313"/>
      <c r="C975" s="314"/>
      <c r="D975" s="315"/>
      <c r="E975" s="313"/>
      <c r="F975" s="313"/>
      <c r="G975" s="313"/>
      <c r="H975" s="316"/>
      <c r="I975" s="317"/>
      <c r="J975" s="317"/>
      <c r="K975" s="318"/>
      <c r="L975" s="318"/>
      <c r="M975" s="318"/>
      <c r="N975" s="318"/>
      <c r="O975" s="318"/>
      <c r="P975" s="319"/>
      <c r="Q975" s="320"/>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si="139"/>
        <v>0</v>
      </c>
      <c r="AB975" s="228" t="str">
        <f t="shared" si="140"/>
        <v/>
      </c>
    </row>
    <row r="976" spans="1:28" s="227" customFormat="1" ht="20.25">
      <c r="A976" s="321"/>
      <c r="B976" s="313"/>
      <c r="C976" s="314"/>
      <c r="D976" s="315"/>
      <c r="E976" s="313"/>
      <c r="F976" s="313"/>
      <c r="G976" s="313"/>
      <c r="H976" s="316"/>
      <c r="I976" s="317"/>
      <c r="J976" s="317"/>
      <c r="K976" s="318"/>
      <c r="L976" s="318"/>
      <c r="M976" s="318"/>
      <c r="N976" s="318"/>
      <c r="O976" s="318"/>
      <c r="P976" s="319"/>
      <c r="Q976" s="320"/>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si="139"/>
        <v>0</v>
      </c>
      <c r="AB976" s="228" t="str">
        <f t="shared" si="140"/>
        <v/>
      </c>
    </row>
    <row r="977" spans="1:28" s="227" customFormat="1" ht="20.25">
      <c r="A977" s="321"/>
      <c r="B977" s="313"/>
      <c r="C977" s="314"/>
      <c r="D977" s="315"/>
      <c r="E977" s="313"/>
      <c r="F977" s="313"/>
      <c r="G977" s="313"/>
      <c r="H977" s="316"/>
      <c r="I977" s="317"/>
      <c r="J977" s="317"/>
      <c r="K977" s="318"/>
      <c r="L977" s="318"/>
      <c r="M977" s="318"/>
      <c r="N977" s="318"/>
      <c r="O977" s="318"/>
      <c r="P977" s="319"/>
      <c r="Q977" s="320"/>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si="139"/>
        <v>0</v>
      </c>
      <c r="AB977" s="228" t="str">
        <f t="shared" si="140"/>
        <v/>
      </c>
    </row>
    <row r="978" spans="1:28" s="227" customFormat="1" ht="20.25">
      <c r="A978" s="321"/>
      <c r="B978" s="313"/>
      <c r="C978" s="314"/>
      <c r="D978" s="315"/>
      <c r="E978" s="313"/>
      <c r="F978" s="313"/>
      <c r="G978" s="313"/>
      <c r="H978" s="316"/>
      <c r="I978" s="317"/>
      <c r="J978" s="317"/>
      <c r="K978" s="318"/>
      <c r="L978" s="318"/>
      <c r="M978" s="318"/>
      <c r="N978" s="318"/>
      <c r="O978" s="318"/>
      <c r="P978" s="319"/>
      <c r="Q978" s="320"/>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si="139"/>
        <v>0</v>
      </c>
      <c r="AB978" s="228" t="str">
        <f t="shared" si="140"/>
        <v/>
      </c>
    </row>
    <row r="979" spans="1:28" s="227" customFormat="1" ht="20.25">
      <c r="A979" s="321"/>
      <c r="B979" s="313"/>
      <c r="C979" s="314"/>
      <c r="D979" s="315"/>
      <c r="E979" s="313"/>
      <c r="F979" s="313"/>
      <c r="G979" s="313"/>
      <c r="H979" s="316"/>
      <c r="I979" s="317"/>
      <c r="J979" s="317"/>
      <c r="K979" s="318"/>
      <c r="L979" s="318"/>
      <c r="M979" s="318"/>
      <c r="N979" s="318"/>
      <c r="O979" s="318"/>
      <c r="P979" s="319"/>
      <c r="Q979" s="320"/>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si="139"/>
        <v>0</v>
      </c>
      <c r="AB979" s="228" t="str">
        <f t="shared" si="140"/>
        <v/>
      </c>
    </row>
    <row r="980" spans="1:28" s="227" customFormat="1" ht="20.25">
      <c r="A980" s="321"/>
      <c r="B980" s="313"/>
      <c r="C980" s="314"/>
      <c r="D980" s="315"/>
      <c r="E980" s="313"/>
      <c r="F980" s="313"/>
      <c r="G980" s="313"/>
      <c r="H980" s="316"/>
      <c r="I980" s="317"/>
      <c r="J980" s="317"/>
      <c r="K980" s="318"/>
      <c r="L980" s="318"/>
      <c r="M980" s="318"/>
      <c r="N980" s="318"/>
      <c r="O980" s="318"/>
      <c r="P980" s="319"/>
      <c r="Q980" s="320"/>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si="139"/>
        <v>0</v>
      </c>
      <c r="AB980" s="228" t="str">
        <f t="shared" si="140"/>
        <v/>
      </c>
    </row>
    <row r="981" spans="1:28" s="227" customFormat="1" ht="20.25">
      <c r="A981" s="321"/>
      <c r="B981" s="313"/>
      <c r="C981" s="314"/>
      <c r="D981" s="315"/>
      <c r="E981" s="313"/>
      <c r="F981" s="313"/>
      <c r="G981" s="313"/>
      <c r="H981" s="316"/>
      <c r="I981" s="317"/>
      <c r="J981" s="317"/>
      <c r="K981" s="318"/>
      <c r="L981" s="318"/>
      <c r="M981" s="318"/>
      <c r="N981" s="318"/>
      <c r="O981" s="318"/>
      <c r="P981" s="319"/>
      <c r="Q981" s="320"/>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si="139"/>
        <v>0</v>
      </c>
      <c r="AB981" s="228" t="str">
        <f t="shared" si="140"/>
        <v/>
      </c>
    </row>
    <row r="982" spans="1:28" s="227" customFormat="1" ht="20.25">
      <c r="A982" s="321"/>
      <c r="B982" s="313"/>
      <c r="C982" s="314"/>
      <c r="D982" s="315"/>
      <c r="E982" s="313"/>
      <c r="F982" s="313"/>
      <c r="G982" s="313"/>
      <c r="H982" s="316"/>
      <c r="I982" s="317"/>
      <c r="J982" s="317"/>
      <c r="K982" s="318"/>
      <c r="L982" s="318"/>
      <c r="M982" s="318"/>
      <c r="N982" s="318"/>
      <c r="O982" s="318"/>
      <c r="P982" s="319"/>
      <c r="Q982" s="320"/>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si="139"/>
        <v>0</v>
      </c>
      <c r="AB982" s="228" t="str">
        <f t="shared" si="140"/>
        <v/>
      </c>
    </row>
    <row r="983" spans="1:28" s="227" customFormat="1" ht="20.25">
      <c r="A983" s="321"/>
      <c r="B983" s="313"/>
      <c r="C983" s="314"/>
      <c r="D983" s="315"/>
      <c r="E983" s="313"/>
      <c r="F983" s="313"/>
      <c r="G983" s="313"/>
      <c r="H983" s="316"/>
      <c r="I983" s="317"/>
      <c r="J983" s="317"/>
      <c r="K983" s="318"/>
      <c r="L983" s="318"/>
      <c r="M983" s="318"/>
      <c r="N983" s="318"/>
      <c r="O983" s="318"/>
      <c r="P983" s="319"/>
      <c r="Q983" s="320"/>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si="139"/>
        <v>0</v>
      </c>
      <c r="AB983" s="228" t="str">
        <f t="shared" si="140"/>
        <v/>
      </c>
    </row>
    <row r="984" spans="1:28" s="227" customFormat="1" ht="20.25">
      <c r="A984" s="321"/>
      <c r="B984" s="313"/>
      <c r="C984" s="314"/>
      <c r="D984" s="315"/>
      <c r="E984" s="313"/>
      <c r="F984" s="313"/>
      <c r="G984" s="313"/>
      <c r="H984" s="316"/>
      <c r="I984" s="317"/>
      <c r="J984" s="317"/>
      <c r="K984" s="318"/>
      <c r="L984" s="318"/>
      <c r="M984" s="318"/>
      <c r="N984" s="318"/>
      <c r="O984" s="318"/>
      <c r="P984" s="319"/>
      <c r="Q984" s="320"/>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si="139"/>
        <v>0</v>
      </c>
      <c r="AB984" s="228" t="str">
        <f t="shared" si="140"/>
        <v/>
      </c>
    </row>
    <row r="985" spans="1:28" s="227" customFormat="1" ht="20.25">
      <c r="A985" s="321"/>
      <c r="B985" s="313"/>
      <c r="C985" s="314"/>
      <c r="D985" s="315"/>
      <c r="E985" s="313"/>
      <c r="F985" s="313"/>
      <c r="G985" s="313"/>
      <c r="H985" s="316"/>
      <c r="I985" s="317"/>
      <c r="J985" s="317"/>
      <c r="K985" s="318"/>
      <c r="L985" s="318"/>
      <c r="M985" s="318"/>
      <c r="N985" s="318"/>
      <c r="O985" s="318"/>
      <c r="P985" s="319"/>
      <c r="Q985" s="320"/>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si="139"/>
        <v>0</v>
      </c>
      <c r="AB985" s="228" t="str">
        <f t="shared" si="140"/>
        <v/>
      </c>
    </row>
    <row r="986" spans="1:28" s="227" customFormat="1" ht="20.25">
      <c r="A986" s="321"/>
      <c r="B986" s="313"/>
      <c r="C986" s="314"/>
      <c r="D986" s="315"/>
      <c r="E986" s="313"/>
      <c r="F986" s="313"/>
      <c r="G986" s="313"/>
      <c r="H986" s="316"/>
      <c r="I986" s="317"/>
      <c r="J986" s="317"/>
      <c r="K986" s="318"/>
      <c r="L986" s="318"/>
      <c r="M986" s="318"/>
      <c r="N986" s="318"/>
      <c r="O986" s="318"/>
      <c r="P986" s="319"/>
      <c r="Q986" s="320"/>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si="139"/>
        <v>0</v>
      </c>
      <c r="AB986" s="228" t="str">
        <f t="shared" si="140"/>
        <v/>
      </c>
    </row>
    <row r="987" spans="1:28" s="227" customFormat="1" ht="20.25">
      <c r="A987" s="321"/>
      <c r="B987" s="313"/>
      <c r="C987" s="314"/>
      <c r="D987" s="315"/>
      <c r="E987" s="313"/>
      <c r="F987" s="313"/>
      <c r="G987" s="313"/>
      <c r="H987" s="316"/>
      <c r="I987" s="317"/>
      <c r="J987" s="317"/>
      <c r="K987" s="318"/>
      <c r="L987" s="318"/>
      <c r="M987" s="318"/>
      <c r="N987" s="318"/>
      <c r="O987" s="318"/>
      <c r="P987" s="319"/>
      <c r="Q987" s="320"/>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si="139"/>
        <v>0</v>
      </c>
      <c r="AB987" s="228" t="str">
        <f t="shared" si="140"/>
        <v/>
      </c>
    </row>
    <row r="988" spans="1:28" s="227" customFormat="1" ht="20.25">
      <c r="A988" s="321"/>
      <c r="B988" s="313"/>
      <c r="C988" s="314"/>
      <c r="D988" s="315"/>
      <c r="E988" s="313"/>
      <c r="F988" s="313"/>
      <c r="G988" s="313"/>
      <c r="H988" s="316"/>
      <c r="I988" s="317"/>
      <c r="J988" s="317"/>
      <c r="K988" s="318"/>
      <c r="L988" s="318"/>
      <c r="M988" s="318"/>
      <c r="N988" s="318"/>
      <c r="O988" s="318"/>
      <c r="P988" s="319"/>
      <c r="Q988" s="320"/>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si="142">IF(AND(C988="Smelter not listed",OR(LEN(D988)=0,LEN(E988)=0)),1,0)</f>
        <v>0</v>
      </c>
      <c r="AB988" s="228" t="str">
        <f t="shared" ref="AB988:AB1018" si="143">B988&amp;C988</f>
        <v/>
      </c>
    </row>
    <row r="989" spans="1:28" s="227" customFormat="1" ht="20.25">
      <c r="A989" s="321"/>
      <c r="B989" s="313"/>
      <c r="C989" s="314"/>
      <c r="D989" s="315"/>
      <c r="E989" s="313"/>
      <c r="F989" s="313"/>
      <c r="G989" s="313"/>
      <c r="H989" s="316"/>
      <c r="I989" s="317"/>
      <c r="J989" s="317"/>
      <c r="K989" s="318"/>
      <c r="L989" s="318"/>
      <c r="M989" s="318"/>
      <c r="N989" s="318"/>
      <c r="O989" s="318"/>
      <c r="P989" s="319"/>
      <c r="Q989" s="320"/>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si="142"/>
        <v>0</v>
      </c>
      <c r="AB989" s="228" t="str">
        <f t="shared" si="143"/>
        <v/>
      </c>
    </row>
    <row r="990" spans="1:28" s="227" customFormat="1" ht="20.25">
      <c r="A990" s="321"/>
      <c r="B990" s="313"/>
      <c r="C990" s="314"/>
      <c r="D990" s="315"/>
      <c r="E990" s="313"/>
      <c r="F990" s="313"/>
      <c r="G990" s="313"/>
      <c r="H990" s="316"/>
      <c r="I990" s="317"/>
      <c r="J990" s="317"/>
      <c r="K990" s="318"/>
      <c r="L990" s="318"/>
      <c r="M990" s="318"/>
      <c r="N990" s="318"/>
      <c r="O990" s="318"/>
      <c r="P990" s="319"/>
      <c r="Q990" s="320"/>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si="142"/>
        <v>0</v>
      </c>
      <c r="AB990" s="228" t="str">
        <f t="shared" si="143"/>
        <v/>
      </c>
    </row>
    <row r="991" spans="1:28" s="227" customFormat="1" ht="20.25">
      <c r="A991" s="321"/>
      <c r="B991" s="313"/>
      <c r="C991" s="314"/>
      <c r="D991" s="315"/>
      <c r="E991" s="313"/>
      <c r="F991" s="313"/>
      <c r="G991" s="313"/>
      <c r="H991" s="316"/>
      <c r="I991" s="317"/>
      <c r="J991" s="317"/>
      <c r="K991" s="318"/>
      <c r="L991" s="318"/>
      <c r="M991" s="318"/>
      <c r="N991" s="318"/>
      <c r="O991" s="318"/>
      <c r="P991" s="319"/>
      <c r="Q991" s="320"/>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si="142"/>
        <v>0</v>
      </c>
      <c r="AB991" s="228" t="str">
        <f t="shared" si="143"/>
        <v/>
      </c>
    </row>
    <row r="992" spans="1:28" s="227" customFormat="1" ht="20.25">
      <c r="A992" s="321"/>
      <c r="B992" s="313"/>
      <c r="C992" s="314"/>
      <c r="D992" s="315"/>
      <c r="E992" s="313"/>
      <c r="F992" s="313"/>
      <c r="G992" s="313"/>
      <c r="H992" s="316"/>
      <c r="I992" s="317"/>
      <c r="J992" s="317"/>
      <c r="K992" s="318"/>
      <c r="L992" s="318"/>
      <c r="M992" s="318"/>
      <c r="N992" s="318"/>
      <c r="O992" s="318"/>
      <c r="P992" s="319"/>
      <c r="Q992" s="320"/>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si="142"/>
        <v>0</v>
      </c>
      <c r="AB992" s="228" t="str">
        <f t="shared" si="143"/>
        <v/>
      </c>
    </row>
    <row r="993" spans="1:28" s="227" customFormat="1" ht="20.25">
      <c r="A993" s="321"/>
      <c r="B993" s="313"/>
      <c r="C993" s="314"/>
      <c r="D993" s="315"/>
      <c r="E993" s="313"/>
      <c r="F993" s="313"/>
      <c r="G993" s="313"/>
      <c r="H993" s="316"/>
      <c r="I993" s="317"/>
      <c r="J993" s="317"/>
      <c r="K993" s="318"/>
      <c r="L993" s="318"/>
      <c r="M993" s="318"/>
      <c r="N993" s="318"/>
      <c r="O993" s="318"/>
      <c r="P993" s="319"/>
      <c r="Q993" s="320"/>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si="142"/>
        <v>0</v>
      </c>
      <c r="AB993" s="228" t="str">
        <f t="shared" si="143"/>
        <v/>
      </c>
    </row>
    <row r="994" spans="1:28" s="227" customFormat="1" ht="20.25">
      <c r="A994" s="321"/>
      <c r="B994" s="313"/>
      <c r="C994" s="314"/>
      <c r="D994" s="315"/>
      <c r="E994" s="313"/>
      <c r="F994" s="313"/>
      <c r="G994" s="313"/>
      <c r="H994" s="316"/>
      <c r="I994" s="317"/>
      <c r="J994" s="317"/>
      <c r="K994" s="318"/>
      <c r="L994" s="318"/>
      <c r="M994" s="318"/>
      <c r="N994" s="318"/>
      <c r="O994" s="318"/>
      <c r="P994" s="319"/>
      <c r="Q994" s="320"/>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si="142"/>
        <v>0</v>
      </c>
      <c r="AB994" s="228" t="str">
        <f t="shared" si="143"/>
        <v/>
      </c>
    </row>
    <row r="995" spans="1:28" s="227" customFormat="1" ht="20.25">
      <c r="A995" s="321"/>
      <c r="B995" s="313"/>
      <c r="C995" s="314"/>
      <c r="D995" s="315"/>
      <c r="E995" s="313"/>
      <c r="F995" s="313"/>
      <c r="G995" s="313"/>
      <c r="H995" s="316"/>
      <c r="I995" s="317"/>
      <c r="J995" s="317"/>
      <c r="K995" s="318"/>
      <c r="L995" s="318"/>
      <c r="M995" s="318"/>
      <c r="N995" s="318"/>
      <c r="O995" s="318"/>
      <c r="P995" s="319"/>
      <c r="Q995" s="320"/>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si="142"/>
        <v>0</v>
      </c>
      <c r="AB995" s="228" t="str">
        <f t="shared" si="143"/>
        <v/>
      </c>
    </row>
    <row r="996" spans="1:28" s="227" customFormat="1" ht="20.25">
      <c r="A996" s="321"/>
      <c r="B996" s="313"/>
      <c r="C996" s="314"/>
      <c r="D996" s="315"/>
      <c r="E996" s="313"/>
      <c r="F996" s="313"/>
      <c r="G996" s="313"/>
      <c r="H996" s="316"/>
      <c r="I996" s="317"/>
      <c r="J996" s="317"/>
      <c r="K996" s="318"/>
      <c r="L996" s="318"/>
      <c r="M996" s="318"/>
      <c r="N996" s="318"/>
      <c r="O996" s="318"/>
      <c r="P996" s="319"/>
      <c r="Q996" s="320"/>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si="142"/>
        <v>0</v>
      </c>
      <c r="AB996" s="228" t="str">
        <f t="shared" si="143"/>
        <v/>
      </c>
    </row>
    <row r="997" spans="1:28" s="227" customFormat="1" ht="20.25">
      <c r="A997" s="321"/>
      <c r="B997" s="313"/>
      <c r="C997" s="314"/>
      <c r="D997" s="315"/>
      <c r="E997" s="313"/>
      <c r="F997" s="313"/>
      <c r="G997" s="313"/>
      <c r="H997" s="316"/>
      <c r="I997" s="317"/>
      <c r="J997" s="317"/>
      <c r="K997" s="318"/>
      <c r="L997" s="318"/>
      <c r="M997" s="318"/>
      <c r="N997" s="318"/>
      <c r="O997" s="318"/>
      <c r="P997" s="319"/>
      <c r="Q997" s="320"/>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si="142"/>
        <v>0</v>
      </c>
      <c r="AB997" s="228" t="str">
        <f t="shared" si="143"/>
        <v/>
      </c>
    </row>
    <row r="998" spans="1:28" s="227" customFormat="1" ht="20.25">
      <c r="A998" s="321"/>
      <c r="B998" s="313"/>
      <c r="C998" s="314"/>
      <c r="D998" s="315"/>
      <c r="E998" s="313"/>
      <c r="F998" s="313"/>
      <c r="G998" s="313"/>
      <c r="H998" s="316"/>
      <c r="I998" s="317"/>
      <c r="J998" s="317"/>
      <c r="K998" s="318"/>
      <c r="L998" s="318"/>
      <c r="M998" s="318"/>
      <c r="N998" s="318"/>
      <c r="O998" s="318"/>
      <c r="P998" s="319"/>
      <c r="Q998" s="320"/>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si="142"/>
        <v>0</v>
      </c>
      <c r="AB998" s="228" t="str">
        <f t="shared" si="143"/>
        <v/>
      </c>
    </row>
    <row r="999" spans="1:28" s="227" customFormat="1" ht="20.25">
      <c r="A999" s="321"/>
      <c r="B999" s="313"/>
      <c r="C999" s="314"/>
      <c r="D999" s="315"/>
      <c r="E999" s="313"/>
      <c r="F999" s="313"/>
      <c r="G999" s="313"/>
      <c r="H999" s="316"/>
      <c r="I999" s="317"/>
      <c r="J999" s="317"/>
      <c r="K999" s="318"/>
      <c r="L999" s="318"/>
      <c r="M999" s="318"/>
      <c r="N999" s="318"/>
      <c r="O999" s="318"/>
      <c r="P999" s="319"/>
      <c r="Q999" s="320"/>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si="142"/>
        <v>0</v>
      </c>
      <c r="AB999" s="228" t="str">
        <f t="shared" si="143"/>
        <v/>
      </c>
    </row>
    <row r="1000" spans="1:28" s="227" customFormat="1" ht="20.25">
      <c r="A1000" s="321"/>
      <c r="B1000" s="313"/>
      <c r="C1000" s="314"/>
      <c r="D1000" s="315"/>
      <c r="E1000" s="313"/>
      <c r="F1000" s="313"/>
      <c r="G1000" s="313"/>
      <c r="H1000" s="316"/>
      <c r="I1000" s="317"/>
      <c r="J1000" s="317"/>
      <c r="K1000" s="318"/>
      <c r="L1000" s="318"/>
      <c r="M1000" s="318"/>
      <c r="N1000" s="318"/>
      <c r="O1000" s="318"/>
      <c r="P1000" s="319"/>
      <c r="Q1000" s="320"/>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si="142"/>
        <v>0</v>
      </c>
      <c r="AB1000" s="228" t="str">
        <f t="shared" si="143"/>
        <v/>
      </c>
    </row>
    <row r="1001" spans="1:28" s="227" customFormat="1" ht="20.25">
      <c r="A1001" s="321"/>
      <c r="B1001" s="313"/>
      <c r="C1001" s="314"/>
      <c r="D1001" s="315"/>
      <c r="E1001" s="313"/>
      <c r="F1001" s="313"/>
      <c r="G1001" s="313"/>
      <c r="H1001" s="316"/>
      <c r="I1001" s="317"/>
      <c r="J1001" s="317"/>
      <c r="K1001" s="318"/>
      <c r="L1001" s="318"/>
      <c r="M1001" s="318"/>
      <c r="N1001" s="318"/>
      <c r="O1001" s="318"/>
      <c r="P1001" s="319"/>
      <c r="Q1001" s="320"/>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si="142"/>
        <v>0</v>
      </c>
      <c r="AB1001" s="228" t="str">
        <f t="shared" si="143"/>
        <v/>
      </c>
    </row>
    <row r="1002" spans="1:28" s="227" customFormat="1" ht="20.25">
      <c r="A1002" s="321"/>
      <c r="B1002" s="313"/>
      <c r="C1002" s="314"/>
      <c r="D1002" s="315"/>
      <c r="E1002" s="313"/>
      <c r="F1002" s="313"/>
      <c r="G1002" s="313"/>
      <c r="H1002" s="316"/>
      <c r="I1002" s="317"/>
      <c r="J1002" s="317"/>
      <c r="K1002" s="318"/>
      <c r="L1002" s="318"/>
      <c r="M1002" s="318"/>
      <c r="N1002" s="318"/>
      <c r="O1002" s="318"/>
      <c r="P1002" s="319"/>
      <c r="Q1002" s="320"/>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si="142"/>
        <v>0</v>
      </c>
      <c r="AB1002" s="228" t="str">
        <f t="shared" si="143"/>
        <v/>
      </c>
    </row>
    <row r="1003" spans="1:28" s="227" customFormat="1" ht="20.25">
      <c r="A1003" s="321"/>
      <c r="B1003" s="313"/>
      <c r="C1003" s="314"/>
      <c r="D1003" s="315"/>
      <c r="E1003" s="313"/>
      <c r="F1003" s="313"/>
      <c r="G1003" s="313"/>
      <c r="H1003" s="316"/>
      <c r="I1003" s="317"/>
      <c r="J1003" s="317"/>
      <c r="K1003" s="318"/>
      <c r="L1003" s="318"/>
      <c r="M1003" s="318"/>
      <c r="N1003" s="318"/>
      <c r="O1003" s="318"/>
      <c r="P1003" s="319"/>
      <c r="Q1003" s="320"/>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si="142"/>
        <v>0</v>
      </c>
      <c r="AB1003" s="228" t="str">
        <f t="shared" si="143"/>
        <v/>
      </c>
    </row>
    <row r="1004" spans="1:28" s="227" customFormat="1" ht="20.25">
      <c r="A1004" s="321"/>
      <c r="B1004" s="313"/>
      <c r="C1004" s="314"/>
      <c r="D1004" s="315"/>
      <c r="E1004" s="313"/>
      <c r="F1004" s="313"/>
      <c r="G1004" s="313"/>
      <c r="H1004" s="316"/>
      <c r="I1004" s="317"/>
      <c r="J1004" s="317"/>
      <c r="K1004" s="318"/>
      <c r="L1004" s="318"/>
      <c r="M1004" s="318"/>
      <c r="N1004" s="318"/>
      <c r="O1004" s="318"/>
      <c r="P1004" s="319"/>
      <c r="Q1004" s="320"/>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si="142"/>
        <v>0</v>
      </c>
      <c r="AB1004" s="228" t="str">
        <f t="shared" si="143"/>
        <v/>
      </c>
    </row>
    <row r="1005" spans="1:28" s="227" customFormat="1" ht="20.25">
      <c r="A1005" s="321"/>
      <c r="B1005" s="313"/>
      <c r="C1005" s="314"/>
      <c r="D1005" s="315"/>
      <c r="E1005" s="313"/>
      <c r="F1005" s="313"/>
      <c r="G1005" s="313"/>
      <c r="H1005" s="316"/>
      <c r="I1005" s="317"/>
      <c r="J1005" s="317"/>
      <c r="K1005" s="318"/>
      <c r="L1005" s="318"/>
      <c r="M1005" s="318"/>
      <c r="N1005" s="318"/>
      <c r="O1005" s="318"/>
      <c r="P1005" s="319"/>
      <c r="Q1005" s="320"/>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si="142"/>
        <v>0</v>
      </c>
      <c r="AB1005" s="228" t="str">
        <f t="shared" si="143"/>
        <v/>
      </c>
    </row>
    <row r="1006" spans="1:28" s="227" customFormat="1" ht="20.25">
      <c r="A1006" s="321"/>
      <c r="B1006" s="313"/>
      <c r="C1006" s="314"/>
      <c r="D1006" s="315"/>
      <c r="E1006" s="313"/>
      <c r="F1006" s="313"/>
      <c r="G1006" s="313"/>
      <c r="H1006" s="316"/>
      <c r="I1006" s="317"/>
      <c r="J1006" s="317"/>
      <c r="K1006" s="318"/>
      <c r="L1006" s="318"/>
      <c r="M1006" s="318"/>
      <c r="N1006" s="318"/>
      <c r="O1006" s="318"/>
      <c r="P1006" s="319"/>
      <c r="Q1006" s="320"/>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si="142"/>
        <v>0</v>
      </c>
      <c r="AB1006" s="228" t="str">
        <f t="shared" si="143"/>
        <v/>
      </c>
    </row>
    <row r="1007" spans="1:28" s="227" customFormat="1" ht="20.25">
      <c r="A1007" s="321"/>
      <c r="B1007" s="313"/>
      <c r="C1007" s="314"/>
      <c r="D1007" s="315"/>
      <c r="E1007" s="313"/>
      <c r="F1007" s="313"/>
      <c r="G1007" s="313"/>
      <c r="H1007" s="316"/>
      <c r="I1007" s="317"/>
      <c r="J1007" s="317"/>
      <c r="K1007" s="318"/>
      <c r="L1007" s="318"/>
      <c r="M1007" s="318"/>
      <c r="N1007" s="318"/>
      <c r="O1007" s="318"/>
      <c r="P1007" s="319"/>
      <c r="Q1007" s="320"/>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si="142"/>
        <v>0</v>
      </c>
      <c r="AB1007" s="228" t="str">
        <f t="shared" si="143"/>
        <v/>
      </c>
    </row>
    <row r="1008" spans="1:28" s="227" customFormat="1" ht="20.25">
      <c r="A1008" s="321"/>
      <c r="B1008" s="313"/>
      <c r="C1008" s="314"/>
      <c r="D1008" s="315"/>
      <c r="E1008" s="313"/>
      <c r="F1008" s="313"/>
      <c r="G1008" s="313"/>
      <c r="H1008" s="316"/>
      <c r="I1008" s="317"/>
      <c r="J1008" s="317"/>
      <c r="K1008" s="318"/>
      <c r="L1008" s="318"/>
      <c r="M1008" s="318"/>
      <c r="N1008" s="318"/>
      <c r="O1008" s="318"/>
      <c r="P1008" s="319"/>
      <c r="Q1008" s="320"/>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si="142"/>
        <v>0</v>
      </c>
      <c r="AB1008" s="228" t="str">
        <f t="shared" si="143"/>
        <v/>
      </c>
    </row>
    <row r="1009" spans="1:28" s="227" customFormat="1" ht="20.25">
      <c r="A1009" s="321"/>
      <c r="B1009" s="313"/>
      <c r="C1009" s="314"/>
      <c r="D1009" s="315"/>
      <c r="E1009" s="313"/>
      <c r="F1009" s="313"/>
      <c r="G1009" s="313"/>
      <c r="H1009" s="316"/>
      <c r="I1009" s="317"/>
      <c r="J1009" s="317"/>
      <c r="K1009" s="318"/>
      <c r="L1009" s="318"/>
      <c r="M1009" s="318"/>
      <c r="N1009" s="318"/>
      <c r="O1009" s="318"/>
      <c r="P1009" s="319"/>
      <c r="Q1009" s="320"/>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si="142"/>
        <v>0</v>
      </c>
      <c r="AB1009" s="228" t="str">
        <f t="shared" si="143"/>
        <v/>
      </c>
    </row>
    <row r="1010" spans="1:28" s="227" customFormat="1" ht="20.25">
      <c r="A1010" s="321"/>
      <c r="B1010" s="313"/>
      <c r="C1010" s="314"/>
      <c r="D1010" s="315"/>
      <c r="E1010" s="313"/>
      <c r="F1010" s="313"/>
      <c r="G1010" s="313"/>
      <c r="H1010" s="316"/>
      <c r="I1010" s="317"/>
      <c r="J1010" s="317"/>
      <c r="K1010" s="318"/>
      <c r="L1010" s="318"/>
      <c r="M1010" s="318"/>
      <c r="N1010" s="318"/>
      <c r="O1010" s="318"/>
      <c r="P1010" s="319"/>
      <c r="Q1010" s="320"/>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si="142"/>
        <v>0</v>
      </c>
      <c r="AB1010" s="228" t="str">
        <f t="shared" si="143"/>
        <v/>
      </c>
    </row>
    <row r="1011" spans="1:28" s="227" customFormat="1" ht="20.25">
      <c r="A1011" s="321"/>
      <c r="B1011" s="313"/>
      <c r="C1011" s="314"/>
      <c r="D1011" s="315"/>
      <c r="E1011" s="313"/>
      <c r="F1011" s="313"/>
      <c r="G1011" s="313"/>
      <c r="H1011" s="316"/>
      <c r="I1011" s="317"/>
      <c r="J1011" s="317"/>
      <c r="K1011" s="318"/>
      <c r="L1011" s="318"/>
      <c r="M1011" s="318"/>
      <c r="N1011" s="318"/>
      <c r="O1011" s="318"/>
      <c r="P1011" s="319"/>
      <c r="Q1011" s="320"/>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si="142"/>
        <v>0</v>
      </c>
      <c r="AB1011" s="228" t="str">
        <f t="shared" si="143"/>
        <v/>
      </c>
    </row>
    <row r="1012" spans="1:28" s="227" customFormat="1" ht="20.25">
      <c r="A1012" s="321"/>
      <c r="B1012" s="313"/>
      <c r="C1012" s="314"/>
      <c r="D1012" s="315"/>
      <c r="E1012" s="313"/>
      <c r="F1012" s="313"/>
      <c r="G1012" s="313"/>
      <c r="H1012" s="316"/>
      <c r="I1012" s="317"/>
      <c r="J1012" s="317"/>
      <c r="K1012" s="318"/>
      <c r="L1012" s="318"/>
      <c r="M1012" s="318"/>
      <c r="N1012" s="318"/>
      <c r="O1012" s="318"/>
      <c r="P1012" s="319"/>
      <c r="Q1012" s="320"/>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si="142"/>
        <v>0</v>
      </c>
      <c r="AB1012" s="228" t="str">
        <f t="shared" si="143"/>
        <v/>
      </c>
    </row>
    <row r="1013" spans="1:28" s="227" customFormat="1" ht="20.25">
      <c r="A1013" s="321"/>
      <c r="B1013" s="313"/>
      <c r="C1013" s="314"/>
      <c r="D1013" s="315"/>
      <c r="E1013" s="313"/>
      <c r="F1013" s="313"/>
      <c r="G1013" s="313"/>
      <c r="H1013" s="316"/>
      <c r="I1013" s="317"/>
      <c r="J1013" s="317"/>
      <c r="K1013" s="318"/>
      <c r="L1013" s="318"/>
      <c r="M1013" s="318"/>
      <c r="N1013" s="318"/>
      <c r="O1013" s="318"/>
      <c r="P1013" s="319"/>
      <c r="Q1013" s="320"/>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si="142"/>
        <v>0</v>
      </c>
      <c r="AB1013" s="228" t="str">
        <f t="shared" si="143"/>
        <v/>
      </c>
    </row>
    <row r="1014" spans="1:28" s="227" customFormat="1" ht="20.25">
      <c r="A1014" s="321"/>
      <c r="B1014" s="313"/>
      <c r="C1014" s="314"/>
      <c r="D1014" s="315"/>
      <c r="E1014" s="313"/>
      <c r="F1014" s="313"/>
      <c r="G1014" s="313"/>
      <c r="H1014" s="316"/>
      <c r="I1014" s="317"/>
      <c r="J1014" s="317"/>
      <c r="K1014" s="318"/>
      <c r="L1014" s="318"/>
      <c r="M1014" s="318"/>
      <c r="N1014" s="318"/>
      <c r="O1014" s="318"/>
      <c r="P1014" s="319"/>
      <c r="Q1014" s="320"/>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si="142"/>
        <v>0</v>
      </c>
      <c r="AB1014" s="228" t="str">
        <f t="shared" si="143"/>
        <v/>
      </c>
    </row>
    <row r="1015" spans="1:28" s="227" customFormat="1" ht="20.25">
      <c r="A1015" s="321"/>
      <c r="B1015" s="313"/>
      <c r="C1015" s="314"/>
      <c r="D1015" s="315"/>
      <c r="E1015" s="313"/>
      <c r="F1015" s="313"/>
      <c r="G1015" s="313"/>
      <c r="H1015" s="316"/>
      <c r="I1015" s="317"/>
      <c r="J1015" s="317"/>
      <c r="K1015" s="318"/>
      <c r="L1015" s="318"/>
      <c r="M1015" s="318"/>
      <c r="N1015" s="318"/>
      <c r="O1015" s="318"/>
      <c r="P1015" s="319"/>
      <c r="Q1015" s="320"/>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si="142"/>
        <v>0</v>
      </c>
      <c r="AB1015" s="228" t="str">
        <f t="shared" si="143"/>
        <v/>
      </c>
    </row>
    <row r="1016" spans="1:28" s="227" customFormat="1" ht="20.25">
      <c r="A1016" s="321"/>
      <c r="B1016" s="313"/>
      <c r="C1016" s="314"/>
      <c r="D1016" s="315"/>
      <c r="E1016" s="313"/>
      <c r="F1016" s="313"/>
      <c r="G1016" s="313"/>
      <c r="H1016" s="316"/>
      <c r="I1016" s="317"/>
      <c r="J1016" s="317"/>
      <c r="K1016" s="318"/>
      <c r="L1016" s="318"/>
      <c r="M1016" s="318"/>
      <c r="N1016" s="318"/>
      <c r="O1016" s="318"/>
      <c r="P1016" s="319"/>
      <c r="Q1016" s="320"/>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si="142"/>
        <v>0</v>
      </c>
      <c r="AB1016" s="228" t="str">
        <f t="shared" si="143"/>
        <v/>
      </c>
    </row>
    <row r="1017" spans="1:28" s="227" customFormat="1" ht="20.25">
      <c r="A1017" s="321"/>
      <c r="B1017" s="313"/>
      <c r="C1017" s="314"/>
      <c r="D1017" s="315"/>
      <c r="E1017" s="313"/>
      <c r="F1017" s="313"/>
      <c r="G1017" s="313"/>
      <c r="H1017" s="316"/>
      <c r="I1017" s="317"/>
      <c r="J1017" s="317"/>
      <c r="K1017" s="318"/>
      <c r="L1017" s="318"/>
      <c r="M1017" s="318"/>
      <c r="N1017" s="318"/>
      <c r="O1017" s="318"/>
      <c r="P1017" s="319"/>
      <c r="Q1017" s="320"/>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si="142"/>
        <v>0</v>
      </c>
      <c r="AB1017" s="228" t="str">
        <f t="shared" si="143"/>
        <v/>
      </c>
    </row>
    <row r="1018" spans="1:28" s="227" customFormat="1" ht="20.25">
      <c r="A1018" s="321"/>
      <c r="B1018" s="313"/>
      <c r="C1018" s="314"/>
      <c r="D1018" s="315"/>
      <c r="E1018" s="313"/>
      <c r="F1018" s="313"/>
      <c r="G1018" s="313"/>
      <c r="H1018" s="316"/>
      <c r="I1018" s="317"/>
      <c r="J1018" s="317"/>
      <c r="K1018" s="318"/>
      <c r="L1018" s="318"/>
      <c r="M1018" s="318"/>
      <c r="N1018" s="318"/>
      <c r="O1018" s="318"/>
      <c r="P1018" s="319"/>
      <c r="Q1018" s="320"/>
      <c r="R1018" s="182" t="str">
        <f ca="1">IF(ISERROR($V1018),"",OFFSET('Smelter Look-up'!$C$4,$V1018-4,0)&amp;"")</f>
        <v/>
      </c>
      <c r="S1018" s="181" t="str">
        <f t="shared" ca="1" si="14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si="142"/>
        <v>0</v>
      </c>
      <c r="AB1018" s="228" t="str">
        <f t="shared" si="143"/>
        <v/>
      </c>
    </row>
    <row r="1019" spans="1:28" s="227" customFormat="1" ht="20.25">
      <c r="A1019" s="321"/>
      <c r="B1019" s="313"/>
      <c r="C1019" s="314"/>
      <c r="D1019" s="315"/>
      <c r="E1019" s="313"/>
      <c r="F1019" s="313"/>
      <c r="G1019" s="313"/>
      <c r="H1019" s="316"/>
      <c r="I1019" s="317"/>
      <c r="J1019" s="317"/>
      <c r="K1019" s="318"/>
      <c r="L1019" s="318"/>
      <c r="M1019" s="318"/>
      <c r="N1019" s="318"/>
      <c r="O1019" s="318"/>
      <c r="P1019" s="319"/>
      <c r="Q1019" s="320"/>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si="145">IF(AND(C1019="Smelter not listed",OR(LEN(D1019)=0,LEN(E1019)=0)),1,0)</f>
        <v>0</v>
      </c>
      <c r="AB1019" s="228" t="str">
        <f t="shared" ref="AB1019" si="146">B1019&amp;C1019</f>
        <v/>
      </c>
    </row>
    <row r="1020" spans="1:28" s="227" customFormat="1" ht="20.25">
      <c r="A1020" s="321"/>
      <c r="B1020" s="313"/>
      <c r="C1020" s="314"/>
      <c r="D1020" s="315"/>
      <c r="E1020" s="313"/>
      <c r="F1020" s="313"/>
      <c r="G1020" s="313"/>
      <c r="H1020" s="316"/>
      <c r="I1020" s="317"/>
      <c r="J1020" s="317"/>
      <c r="K1020" s="318"/>
      <c r="L1020" s="318"/>
      <c r="M1020" s="318"/>
      <c r="N1020" s="318"/>
      <c r="O1020" s="318"/>
      <c r="P1020" s="319"/>
      <c r="Q1020" s="320"/>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si="148">IF(AND(C1020="Smelter not listed",OR(LEN(D1020)=0,LEN(E1020)=0)),1,0)</f>
        <v>0</v>
      </c>
      <c r="AB1020" s="228" t="str">
        <f t="shared" ref="AB1020:AB1051" si="149">B1020&amp;C1020</f>
        <v/>
      </c>
    </row>
    <row r="1021" spans="1:28" s="227" customFormat="1" ht="20.25">
      <c r="A1021" s="321"/>
      <c r="B1021" s="313"/>
      <c r="C1021" s="314"/>
      <c r="D1021" s="315"/>
      <c r="E1021" s="313"/>
      <c r="F1021" s="313"/>
      <c r="G1021" s="313"/>
      <c r="H1021" s="316"/>
      <c r="I1021" s="317"/>
      <c r="J1021" s="317"/>
      <c r="K1021" s="318"/>
      <c r="L1021" s="318"/>
      <c r="M1021" s="318"/>
      <c r="N1021" s="318"/>
      <c r="O1021" s="318"/>
      <c r="P1021" s="319"/>
      <c r="Q1021" s="320"/>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si="148"/>
        <v>0</v>
      </c>
      <c r="AB1021" s="228" t="str">
        <f t="shared" si="149"/>
        <v/>
      </c>
    </row>
    <row r="1022" spans="1:28" s="227" customFormat="1" ht="20.25">
      <c r="A1022" s="321"/>
      <c r="B1022" s="313"/>
      <c r="C1022" s="314"/>
      <c r="D1022" s="315"/>
      <c r="E1022" s="313"/>
      <c r="F1022" s="313"/>
      <c r="G1022" s="313"/>
      <c r="H1022" s="316"/>
      <c r="I1022" s="317"/>
      <c r="J1022" s="317"/>
      <c r="K1022" s="318"/>
      <c r="L1022" s="318"/>
      <c r="M1022" s="318"/>
      <c r="N1022" s="318"/>
      <c r="O1022" s="318"/>
      <c r="P1022" s="319"/>
      <c r="Q1022" s="320"/>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si="148"/>
        <v>0</v>
      </c>
      <c r="AB1022" s="228" t="str">
        <f t="shared" si="149"/>
        <v/>
      </c>
    </row>
    <row r="1023" spans="1:28" s="227" customFormat="1" ht="20.25">
      <c r="A1023" s="321"/>
      <c r="B1023" s="313"/>
      <c r="C1023" s="314"/>
      <c r="D1023" s="315"/>
      <c r="E1023" s="313"/>
      <c r="F1023" s="313"/>
      <c r="G1023" s="313"/>
      <c r="H1023" s="316"/>
      <c r="I1023" s="317"/>
      <c r="J1023" s="317"/>
      <c r="K1023" s="318"/>
      <c r="L1023" s="318"/>
      <c r="M1023" s="318"/>
      <c r="N1023" s="318"/>
      <c r="O1023" s="318"/>
      <c r="P1023" s="319"/>
      <c r="Q1023" s="320"/>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si="148"/>
        <v>0</v>
      </c>
      <c r="AB1023" s="228" t="str">
        <f t="shared" si="149"/>
        <v/>
      </c>
    </row>
    <row r="1024" spans="1:28" s="227" customFormat="1" ht="20.25">
      <c r="A1024" s="321"/>
      <c r="B1024" s="313"/>
      <c r="C1024" s="314"/>
      <c r="D1024" s="315"/>
      <c r="E1024" s="313"/>
      <c r="F1024" s="313"/>
      <c r="G1024" s="313"/>
      <c r="H1024" s="316"/>
      <c r="I1024" s="317"/>
      <c r="J1024" s="317"/>
      <c r="K1024" s="318"/>
      <c r="L1024" s="318"/>
      <c r="M1024" s="318"/>
      <c r="N1024" s="318"/>
      <c r="O1024" s="318"/>
      <c r="P1024" s="319"/>
      <c r="Q1024" s="320"/>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si="148"/>
        <v>0</v>
      </c>
      <c r="AB1024" s="228" t="str">
        <f t="shared" si="149"/>
        <v/>
      </c>
    </row>
    <row r="1025" spans="1:28" s="227" customFormat="1" ht="20.25">
      <c r="A1025" s="321"/>
      <c r="B1025" s="313"/>
      <c r="C1025" s="314"/>
      <c r="D1025" s="315"/>
      <c r="E1025" s="313"/>
      <c r="F1025" s="313"/>
      <c r="G1025" s="313"/>
      <c r="H1025" s="316"/>
      <c r="I1025" s="317"/>
      <c r="J1025" s="317"/>
      <c r="K1025" s="318"/>
      <c r="L1025" s="318"/>
      <c r="M1025" s="318"/>
      <c r="N1025" s="318"/>
      <c r="O1025" s="318"/>
      <c r="P1025" s="319"/>
      <c r="Q1025" s="320"/>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si="148"/>
        <v>0</v>
      </c>
      <c r="AB1025" s="228" t="str">
        <f t="shared" si="149"/>
        <v/>
      </c>
    </row>
    <row r="1026" spans="1:28" s="227" customFormat="1" ht="20.25">
      <c r="A1026" s="321"/>
      <c r="B1026" s="313"/>
      <c r="C1026" s="314"/>
      <c r="D1026" s="315"/>
      <c r="E1026" s="313"/>
      <c r="F1026" s="313"/>
      <c r="G1026" s="313"/>
      <c r="H1026" s="316"/>
      <c r="I1026" s="317"/>
      <c r="J1026" s="317"/>
      <c r="K1026" s="318"/>
      <c r="L1026" s="318"/>
      <c r="M1026" s="318"/>
      <c r="N1026" s="318"/>
      <c r="O1026" s="318"/>
      <c r="P1026" s="319"/>
      <c r="Q1026" s="320"/>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si="148"/>
        <v>0</v>
      </c>
      <c r="AB1026" s="228" t="str">
        <f t="shared" si="149"/>
        <v/>
      </c>
    </row>
    <row r="1027" spans="1:28" s="227" customFormat="1" ht="20.25">
      <c r="A1027" s="321"/>
      <c r="B1027" s="313"/>
      <c r="C1027" s="314"/>
      <c r="D1027" s="315"/>
      <c r="E1027" s="313"/>
      <c r="F1027" s="313"/>
      <c r="G1027" s="313"/>
      <c r="H1027" s="316"/>
      <c r="I1027" s="317"/>
      <c r="J1027" s="317"/>
      <c r="K1027" s="318"/>
      <c r="L1027" s="318"/>
      <c r="M1027" s="318"/>
      <c r="N1027" s="318"/>
      <c r="O1027" s="318"/>
      <c r="P1027" s="319"/>
      <c r="Q1027" s="320"/>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si="148"/>
        <v>0</v>
      </c>
      <c r="AB1027" s="228" t="str">
        <f t="shared" si="149"/>
        <v/>
      </c>
    </row>
    <row r="1028" spans="1:28" s="227" customFormat="1" ht="20.25">
      <c r="A1028" s="321"/>
      <c r="B1028" s="313"/>
      <c r="C1028" s="314"/>
      <c r="D1028" s="315"/>
      <c r="E1028" s="313"/>
      <c r="F1028" s="313"/>
      <c r="G1028" s="313"/>
      <c r="H1028" s="316"/>
      <c r="I1028" s="317"/>
      <c r="J1028" s="317"/>
      <c r="K1028" s="318"/>
      <c r="L1028" s="318"/>
      <c r="M1028" s="318"/>
      <c r="N1028" s="318"/>
      <c r="O1028" s="318"/>
      <c r="P1028" s="319"/>
      <c r="Q1028" s="320"/>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si="148"/>
        <v>0</v>
      </c>
      <c r="AB1028" s="228" t="str">
        <f t="shared" si="149"/>
        <v/>
      </c>
    </row>
    <row r="1029" spans="1:28" s="227" customFormat="1" ht="20.25">
      <c r="A1029" s="321"/>
      <c r="B1029" s="313"/>
      <c r="C1029" s="314"/>
      <c r="D1029" s="315"/>
      <c r="E1029" s="313"/>
      <c r="F1029" s="313"/>
      <c r="G1029" s="313"/>
      <c r="H1029" s="316"/>
      <c r="I1029" s="317"/>
      <c r="J1029" s="317"/>
      <c r="K1029" s="318"/>
      <c r="L1029" s="318"/>
      <c r="M1029" s="318"/>
      <c r="N1029" s="318"/>
      <c r="O1029" s="318"/>
      <c r="P1029" s="319"/>
      <c r="Q1029" s="320"/>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si="148"/>
        <v>0</v>
      </c>
      <c r="AB1029" s="228" t="str">
        <f t="shared" si="149"/>
        <v/>
      </c>
    </row>
    <row r="1030" spans="1:28" s="227" customFormat="1" ht="20.25">
      <c r="A1030" s="321"/>
      <c r="B1030" s="313"/>
      <c r="C1030" s="314"/>
      <c r="D1030" s="315"/>
      <c r="E1030" s="313"/>
      <c r="F1030" s="313"/>
      <c r="G1030" s="313"/>
      <c r="H1030" s="316"/>
      <c r="I1030" s="317"/>
      <c r="J1030" s="317"/>
      <c r="K1030" s="318"/>
      <c r="L1030" s="318"/>
      <c r="M1030" s="318"/>
      <c r="N1030" s="318"/>
      <c r="O1030" s="318"/>
      <c r="P1030" s="319"/>
      <c r="Q1030" s="320"/>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si="148"/>
        <v>0</v>
      </c>
      <c r="AB1030" s="228" t="str">
        <f t="shared" si="149"/>
        <v/>
      </c>
    </row>
    <row r="1031" spans="1:28" s="227" customFormat="1" ht="20.25">
      <c r="A1031" s="321"/>
      <c r="B1031" s="313"/>
      <c r="C1031" s="314"/>
      <c r="D1031" s="315"/>
      <c r="E1031" s="313"/>
      <c r="F1031" s="313"/>
      <c r="G1031" s="313"/>
      <c r="H1031" s="316"/>
      <c r="I1031" s="317"/>
      <c r="J1031" s="317"/>
      <c r="K1031" s="318"/>
      <c r="L1031" s="318"/>
      <c r="M1031" s="318"/>
      <c r="N1031" s="318"/>
      <c r="O1031" s="318"/>
      <c r="P1031" s="319"/>
      <c r="Q1031" s="320"/>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si="148"/>
        <v>0</v>
      </c>
      <c r="AB1031" s="228" t="str">
        <f t="shared" si="149"/>
        <v/>
      </c>
    </row>
    <row r="1032" spans="1:28" s="227" customFormat="1" ht="20.25">
      <c r="A1032" s="321"/>
      <c r="B1032" s="313"/>
      <c r="C1032" s="314"/>
      <c r="D1032" s="315"/>
      <c r="E1032" s="313"/>
      <c r="F1032" s="313"/>
      <c r="G1032" s="313"/>
      <c r="H1032" s="316"/>
      <c r="I1032" s="317"/>
      <c r="J1032" s="317"/>
      <c r="K1032" s="318"/>
      <c r="L1032" s="318"/>
      <c r="M1032" s="318"/>
      <c r="N1032" s="318"/>
      <c r="O1032" s="318"/>
      <c r="P1032" s="319"/>
      <c r="Q1032" s="320"/>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si="148"/>
        <v>0</v>
      </c>
      <c r="AB1032" s="228" t="str">
        <f t="shared" si="149"/>
        <v/>
      </c>
    </row>
    <row r="1033" spans="1:28" s="227" customFormat="1" ht="20.25">
      <c r="A1033" s="321"/>
      <c r="B1033" s="313"/>
      <c r="C1033" s="314"/>
      <c r="D1033" s="315"/>
      <c r="E1033" s="313"/>
      <c r="F1033" s="313"/>
      <c r="G1033" s="313"/>
      <c r="H1033" s="316"/>
      <c r="I1033" s="317"/>
      <c r="J1033" s="317"/>
      <c r="K1033" s="318"/>
      <c r="L1033" s="318"/>
      <c r="M1033" s="318"/>
      <c r="N1033" s="318"/>
      <c r="O1033" s="318"/>
      <c r="P1033" s="319"/>
      <c r="Q1033" s="320"/>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si="148"/>
        <v>0</v>
      </c>
      <c r="AB1033" s="228" t="str">
        <f t="shared" si="149"/>
        <v/>
      </c>
    </row>
    <row r="1034" spans="1:28" s="227" customFormat="1" ht="20.25">
      <c r="A1034" s="321"/>
      <c r="B1034" s="313"/>
      <c r="C1034" s="314"/>
      <c r="D1034" s="315"/>
      <c r="E1034" s="313"/>
      <c r="F1034" s="313"/>
      <c r="G1034" s="313"/>
      <c r="H1034" s="316"/>
      <c r="I1034" s="317"/>
      <c r="J1034" s="317"/>
      <c r="K1034" s="318"/>
      <c r="L1034" s="318"/>
      <c r="M1034" s="318"/>
      <c r="N1034" s="318"/>
      <c r="O1034" s="318"/>
      <c r="P1034" s="319"/>
      <c r="Q1034" s="320"/>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si="148"/>
        <v>0</v>
      </c>
      <c r="AB1034" s="228" t="str">
        <f t="shared" si="149"/>
        <v/>
      </c>
    </row>
    <row r="1035" spans="1:28" s="227" customFormat="1" ht="20.25">
      <c r="A1035" s="321"/>
      <c r="B1035" s="313"/>
      <c r="C1035" s="314"/>
      <c r="D1035" s="315"/>
      <c r="E1035" s="313"/>
      <c r="F1035" s="313"/>
      <c r="G1035" s="313"/>
      <c r="H1035" s="316"/>
      <c r="I1035" s="317"/>
      <c r="J1035" s="317"/>
      <c r="K1035" s="318"/>
      <c r="L1035" s="318"/>
      <c r="M1035" s="318"/>
      <c r="N1035" s="318"/>
      <c r="O1035" s="318"/>
      <c r="P1035" s="319"/>
      <c r="Q1035" s="320"/>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si="148"/>
        <v>0</v>
      </c>
      <c r="AB1035" s="228" t="str">
        <f t="shared" si="149"/>
        <v/>
      </c>
    </row>
    <row r="1036" spans="1:28" s="227" customFormat="1" ht="20.25">
      <c r="A1036" s="321"/>
      <c r="B1036" s="313"/>
      <c r="C1036" s="314"/>
      <c r="D1036" s="315"/>
      <c r="E1036" s="313"/>
      <c r="F1036" s="313"/>
      <c r="G1036" s="313"/>
      <c r="H1036" s="316"/>
      <c r="I1036" s="317"/>
      <c r="J1036" s="317"/>
      <c r="K1036" s="318"/>
      <c r="L1036" s="318"/>
      <c r="M1036" s="318"/>
      <c r="N1036" s="318"/>
      <c r="O1036" s="318"/>
      <c r="P1036" s="319"/>
      <c r="Q1036" s="320"/>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si="148"/>
        <v>0</v>
      </c>
      <c r="AB1036" s="228" t="str">
        <f t="shared" si="149"/>
        <v/>
      </c>
    </row>
    <row r="1037" spans="1:28" s="227" customFormat="1" ht="20.25">
      <c r="A1037" s="321"/>
      <c r="B1037" s="313"/>
      <c r="C1037" s="314"/>
      <c r="D1037" s="315"/>
      <c r="E1037" s="313"/>
      <c r="F1037" s="313"/>
      <c r="G1037" s="313"/>
      <c r="H1037" s="316"/>
      <c r="I1037" s="317"/>
      <c r="J1037" s="317"/>
      <c r="K1037" s="318"/>
      <c r="L1037" s="318"/>
      <c r="M1037" s="318"/>
      <c r="N1037" s="318"/>
      <c r="O1037" s="318"/>
      <c r="P1037" s="319"/>
      <c r="Q1037" s="320"/>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si="148"/>
        <v>0</v>
      </c>
      <c r="AB1037" s="228" t="str">
        <f t="shared" si="149"/>
        <v/>
      </c>
    </row>
    <row r="1038" spans="1:28" s="227" customFormat="1" ht="20.25">
      <c r="A1038" s="321"/>
      <c r="B1038" s="313"/>
      <c r="C1038" s="314"/>
      <c r="D1038" s="315"/>
      <c r="E1038" s="313"/>
      <c r="F1038" s="313"/>
      <c r="G1038" s="313"/>
      <c r="H1038" s="316"/>
      <c r="I1038" s="317"/>
      <c r="J1038" s="317"/>
      <c r="K1038" s="318"/>
      <c r="L1038" s="318"/>
      <c r="M1038" s="318"/>
      <c r="N1038" s="318"/>
      <c r="O1038" s="318"/>
      <c r="P1038" s="319"/>
      <c r="Q1038" s="320"/>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si="148"/>
        <v>0</v>
      </c>
      <c r="AB1038" s="228" t="str">
        <f t="shared" si="149"/>
        <v/>
      </c>
    </row>
    <row r="1039" spans="1:28" s="227" customFormat="1" ht="20.25">
      <c r="A1039" s="321"/>
      <c r="B1039" s="313"/>
      <c r="C1039" s="314"/>
      <c r="D1039" s="315"/>
      <c r="E1039" s="313"/>
      <c r="F1039" s="313"/>
      <c r="G1039" s="313"/>
      <c r="H1039" s="316"/>
      <c r="I1039" s="317"/>
      <c r="J1039" s="317"/>
      <c r="K1039" s="318"/>
      <c r="L1039" s="318"/>
      <c r="M1039" s="318"/>
      <c r="N1039" s="318"/>
      <c r="O1039" s="318"/>
      <c r="P1039" s="319"/>
      <c r="Q1039" s="320"/>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si="148"/>
        <v>0</v>
      </c>
      <c r="AB1039" s="228" t="str">
        <f t="shared" si="149"/>
        <v/>
      </c>
    </row>
    <row r="1040" spans="1:28" s="227" customFormat="1" ht="20.25">
      <c r="A1040" s="321"/>
      <c r="B1040" s="313"/>
      <c r="C1040" s="314"/>
      <c r="D1040" s="315"/>
      <c r="E1040" s="313"/>
      <c r="F1040" s="313"/>
      <c r="G1040" s="313"/>
      <c r="H1040" s="316"/>
      <c r="I1040" s="317"/>
      <c r="J1040" s="317"/>
      <c r="K1040" s="318"/>
      <c r="L1040" s="318"/>
      <c r="M1040" s="318"/>
      <c r="N1040" s="318"/>
      <c r="O1040" s="318"/>
      <c r="P1040" s="319"/>
      <c r="Q1040" s="320"/>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si="148"/>
        <v>0</v>
      </c>
      <c r="AB1040" s="228" t="str">
        <f t="shared" si="149"/>
        <v/>
      </c>
    </row>
    <row r="1041" spans="1:28" s="227" customFormat="1" ht="20.25">
      <c r="A1041" s="321"/>
      <c r="B1041" s="313"/>
      <c r="C1041" s="314"/>
      <c r="D1041" s="315"/>
      <c r="E1041" s="313"/>
      <c r="F1041" s="313"/>
      <c r="G1041" s="313"/>
      <c r="H1041" s="316"/>
      <c r="I1041" s="317"/>
      <c r="J1041" s="317"/>
      <c r="K1041" s="318"/>
      <c r="L1041" s="318"/>
      <c r="M1041" s="318"/>
      <c r="N1041" s="318"/>
      <c r="O1041" s="318"/>
      <c r="P1041" s="319"/>
      <c r="Q1041" s="320"/>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si="148"/>
        <v>0</v>
      </c>
      <c r="AB1041" s="228" t="str">
        <f t="shared" si="149"/>
        <v/>
      </c>
    </row>
    <row r="1042" spans="1:28" s="227" customFormat="1" ht="20.25">
      <c r="A1042" s="321"/>
      <c r="B1042" s="313"/>
      <c r="C1042" s="314"/>
      <c r="D1042" s="315"/>
      <c r="E1042" s="313"/>
      <c r="F1042" s="313"/>
      <c r="G1042" s="313"/>
      <c r="H1042" s="316"/>
      <c r="I1042" s="317"/>
      <c r="J1042" s="317"/>
      <c r="K1042" s="318"/>
      <c r="L1042" s="318"/>
      <c r="M1042" s="318"/>
      <c r="N1042" s="318"/>
      <c r="O1042" s="318"/>
      <c r="P1042" s="319"/>
      <c r="Q1042" s="320"/>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si="148"/>
        <v>0</v>
      </c>
      <c r="AB1042" s="228" t="str">
        <f t="shared" si="149"/>
        <v/>
      </c>
    </row>
    <row r="1043" spans="1:28" s="227" customFormat="1" ht="20.25">
      <c r="A1043" s="321"/>
      <c r="B1043" s="313"/>
      <c r="C1043" s="314"/>
      <c r="D1043" s="315"/>
      <c r="E1043" s="313"/>
      <c r="F1043" s="313"/>
      <c r="G1043" s="313"/>
      <c r="H1043" s="316"/>
      <c r="I1043" s="317"/>
      <c r="J1043" s="317"/>
      <c r="K1043" s="318"/>
      <c r="L1043" s="318"/>
      <c r="M1043" s="318"/>
      <c r="N1043" s="318"/>
      <c r="O1043" s="318"/>
      <c r="P1043" s="319"/>
      <c r="Q1043" s="320"/>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si="148"/>
        <v>0</v>
      </c>
      <c r="AB1043" s="228" t="str">
        <f t="shared" si="149"/>
        <v/>
      </c>
    </row>
    <row r="1044" spans="1:28" s="227" customFormat="1" ht="20.25">
      <c r="A1044" s="321"/>
      <c r="B1044" s="313"/>
      <c r="C1044" s="314"/>
      <c r="D1044" s="315"/>
      <c r="E1044" s="313"/>
      <c r="F1044" s="313"/>
      <c r="G1044" s="313"/>
      <c r="H1044" s="316"/>
      <c r="I1044" s="317"/>
      <c r="J1044" s="317"/>
      <c r="K1044" s="318"/>
      <c r="L1044" s="318"/>
      <c r="M1044" s="318"/>
      <c r="N1044" s="318"/>
      <c r="O1044" s="318"/>
      <c r="P1044" s="319"/>
      <c r="Q1044" s="320"/>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si="148"/>
        <v>0</v>
      </c>
      <c r="AB1044" s="228" t="str">
        <f t="shared" si="149"/>
        <v/>
      </c>
    </row>
    <row r="1045" spans="1:28" s="227" customFormat="1" ht="20.25">
      <c r="A1045" s="321"/>
      <c r="B1045" s="313"/>
      <c r="C1045" s="314"/>
      <c r="D1045" s="315"/>
      <c r="E1045" s="313"/>
      <c r="F1045" s="313"/>
      <c r="G1045" s="313"/>
      <c r="H1045" s="316"/>
      <c r="I1045" s="317"/>
      <c r="J1045" s="317"/>
      <c r="K1045" s="318"/>
      <c r="L1045" s="318"/>
      <c r="M1045" s="318"/>
      <c r="N1045" s="318"/>
      <c r="O1045" s="318"/>
      <c r="P1045" s="319"/>
      <c r="Q1045" s="320"/>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si="148"/>
        <v>0</v>
      </c>
      <c r="AB1045" s="228" t="str">
        <f t="shared" si="149"/>
        <v/>
      </c>
    </row>
    <row r="1046" spans="1:28" s="227" customFormat="1" ht="20.25">
      <c r="A1046" s="321"/>
      <c r="B1046" s="313"/>
      <c r="C1046" s="314"/>
      <c r="D1046" s="315"/>
      <c r="E1046" s="313"/>
      <c r="F1046" s="313"/>
      <c r="G1046" s="313"/>
      <c r="H1046" s="316"/>
      <c r="I1046" s="317"/>
      <c r="J1046" s="317"/>
      <c r="K1046" s="318"/>
      <c r="L1046" s="318"/>
      <c r="M1046" s="318"/>
      <c r="N1046" s="318"/>
      <c r="O1046" s="318"/>
      <c r="P1046" s="319"/>
      <c r="Q1046" s="320"/>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si="148"/>
        <v>0</v>
      </c>
      <c r="AB1046" s="228" t="str">
        <f t="shared" si="149"/>
        <v/>
      </c>
    </row>
    <row r="1047" spans="1:28" s="227" customFormat="1" ht="20.25">
      <c r="A1047" s="321"/>
      <c r="B1047" s="313"/>
      <c r="C1047" s="314"/>
      <c r="D1047" s="315"/>
      <c r="E1047" s="313"/>
      <c r="F1047" s="313"/>
      <c r="G1047" s="313"/>
      <c r="H1047" s="316"/>
      <c r="I1047" s="317"/>
      <c r="J1047" s="317"/>
      <c r="K1047" s="318"/>
      <c r="L1047" s="318"/>
      <c r="M1047" s="318"/>
      <c r="N1047" s="318"/>
      <c r="O1047" s="318"/>
      <c r="P1047" s="319"/>
      <c r="Q1047" s="320"/>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si="148"/>
        <v>0</v>
      </c>
      <c r="AB1047" s="228" t="str">
        <f t="shared" si="149"/>
        <v/>
      </c>
    </row>
    <row r="1048" spans="1:28" s="227" customFormat="1" ht="20.25">
      <c r="A1048" s="321"/>
      <c r="B1048" s="313"/>
      <c r="C1048" s="314"/>
      <c r="D1048" s="315"/>
      <c r="E1048" s="313"/>
      <c r="F1048" s="313"/>
      <c r="G1048" s="313"/>
      <c r="H1048" s="316"/>
      <c r="I1048" s="317"/>
      <c r="J1048" s="317"/>
      <c r="K1048" s="318"/>
      <c r="L1048" s="318"/>
      <c r="M1048" s="318"/>
      <c r="N1048" s="318"/>
      <c r="O1048" s="318"/>
      <c r="P1048" s="319"/>
      <c r="Q1048" s="320"/>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si="148"/>
        <v>0</v>
      </c>
      <c r="AB1048" s="228" t="str">
        <f t="shared" si="149"/>
        <v/>
      </c>
    </row>
    <row r="1049" spans="1:28" s="227" customFormat="1" ht="20.25">
      <c r="A1049" s="321"/>
      <c r="B1049" s="313"/>
      <c r="C1049" s="314"/>
      <c r="D1049" s="315"/>
      <c r="E1049" s="313"/>
      <c r="F1049" s="313"/>
      <c r="G1049" s="313"/>
      <c r="H1049" s="316"/>
      <c r="I1049" s="317"/>
      <c r="J1049" s="317"/>
      <c r="K1049" s="318"/>
      <c r="L1049" s="318"/>
      <c r="M1049" s="318"/>
      <c r="N1049" s="318"/>
      <c r="O1049" s="318"/>
      <c r="P1049" s="319"/>
      <c r="Q1049" s="320"/>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si="148"/>
        <v>0</v>
      </c>
      <c r="AB1049" s="228" t="str">
        <f t="shared" si="149"/>
        <v/>
      </c>
    </row>
    <row r="1050" spans="1:28" s="227" customFormat="1" ht="20.25">
      <c r="A1050" s="321"/>
      <c r="B1050" s="313"/>
      <c r="C1050" s="314"/>
      <c r="D1050" s="315"/>
      <c r="E1050" s="313"/>
      <c r="F1050" s="313"/>
      <c r="G1050" s="313"/>
      <c r="H1050" s="316"/>
      <c r="I1050" s="317"/>
      <c r="J1050" s="317"/>
      <c r="K1050" s="318"/>
      <c r="L1050" s="318"/>
      <c r="M1050" s="318"/>
      <c r="N1050" s="318"/>
      <c r="O1050" s="318"/>
      <c r="P1050" s="319"/>
      <c r="Q1050" s="320"/>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si="148"/>
        <v>0</v>
      </c>
      <c r="AB1050" s="228" t="str">
        <f t="shared" si="149"/>
        <v/>
      </c>
    </row>
    <row r="1051" spans="1:28" s="227" customFormat="1" ht="20.25">
      <c r="A1051" s="321"/>
      <c r="B1051" s="313"/>
      <c r="C1051" s="314"/>
      <c r="D1051" s="315"/>
      <c r="E1051" s="313"/>
      <c r="F1051" s="313"/>
      <c r="G1051" s="313"/>
      <c r="H1051" s="316"/>
      <c r="I1051" s="317"/>
      <c r="J1051" s="317"/>
      <c r="K1051" s="318"/>
      <c r="L1051" s="318"/>
      <c r="M1051" s="318"/>
      <c r="N1051" s="318"/>
      <c r="O1051" s="318"/>
      <c r="P1051" s="319"/>
      <c r="Q1051" s="320"/>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si="148"/>
        <v>0</v>
      </c>
      <c r="AB1051" s="228" t="str">
        <f t="shared" si="149"/>
        <v/>
      </c>
    </row>
    <row r="1052" spans="1:28" s="227" customFormat="1" ht="20.25">
      <c r="A1052" s="321"/>
      <c r="B1052" s="313"/>
      <c r="C1052" s="314"/>
      <c r="D1052" s="315"/>
      <c r="E1052" s="313"/>
      <c r="F1052" s="313"/>
      <c r="G1052" s="313"/>
      <c r="H1052" s="316"/>
      <c r="I1052" s="317"/>
      <c r="J1052" s="317"/>
      <c r="K1052" s="318"/>
      <c r="L1052" s="318"/>
      <c r="M1052" s="318"/>
      <c r="N1052" s="318"/>
      <c r="O1052" s="318"/>
      <c r="P1052" s="319"/>
      <c r="Q1052" s="320"/>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si="151">IF(AND(C1052="Smelter not listed",OR(LEN(D1052)=0,LEN(E1052)=0)),1,0)</f>
        <v>0</v>
      </c>
      <c r="AB1052" s="228" t="str">
        <f t="shared" ref="AB1052:AB1082" si="152">B1052&amp;C1052</f>
        <v/>
      </c>
    </row>
    <row r="1053" spans="1:28" s="227" customFormat="1" ht="20.25">
      <c r="A1053" s="321"/>
      <c r="B1053" s="313"/>
      <c r="C1053" s="314"/>
      <c r="D1053" s="315"/>
      <c r="E1053" s="313"/>
      <c r="F1053" s="313"/>
      <c r="G1053" s="313"/>
      <c r="H1053" s="316"/>
      <c r="I1053" s="317"/>
      <c r="J1053" s="317"/>
      <c r="K1053" s="318"/>
      <c r="L1053" s="318"/>
      <c r="M1053" s="318"/>
      <c r="N1053" s="318"/>
      <c r="O1053" s="318"/>
      <c r="P1053" s="319"/>
      <c r="Q1053" s="320"/>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si="151"/>
        <v>0</v>
      </c>
      <c r="AB1053" s="228" t="str">
        <f t="shared" si="152"/>
        <v/>
      </c>
    </row>
    <row r="1054" spans="1:28" s="227" customFormat="1" ht="20.25">
      <c r="A1054" s="321"/>
      <c r="B1054" s="313"/>
      <c r="C1054" s="314"/>
      <c r="D1054" s="315"/>
      <c r="E1054" s="313"/>
      <c r="F1054" s="313"/>
      <c r="G1054" s="313"/>
      <c r="H1054" s="316"/>
      <c r="I1054" s="317"/>
      <c r="J1054" s="317"/>
      <c r="K1054" s="318"/>
      <c r="L1054" s="318"/>
      <c r="M1054" s="318"/>
      <c r="N1054" s="318"/>
      <c r="O1054" s="318"/>
      <c r="P1054" s="319"/>
      <c r="Q1054" s="320"/>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si="151"/>
        <v>0</v>
      </c>
      <c r="AB1054" s="228" t="str">
        <f t="shared" si="152"/>
        <v/>
      </c>
    </row>
    <row r="1055" spans="1:28" s="227" customFormat="1" ht="20.25">
      <c r="A1055" s="321"/>
      <c r="B1055" s="313"/>
      <c r="C1055" s="314"/>
      <c r="D1055" s="315"/>
      <c r="E1055" s="313"/>
      <c r="F1055" s="313"/>
      <c r="G1055" s="313"/>
      <c r="H1055" s="316"/>
      <c r="I1055" s="317"/>
      <c r="J1055" s="317"/>
      <c r="K1055" s="318"/>
      <c r="L1055" s="318"/>
      <c r="M1055" s="318"/>
      <c r="N1055" s="318"/>
      <c r="O1055" s="318"/>
      <c r="P1055" s="319"/>
      <c r="Q1055" s="320"/>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si="151"/>
        <v>0</v>
      </c>
      <c r="AB1055" s="228" t="str">
        <f t="shared" si="152"/>
        <v/>
      </c>
    </row>
    <row r="1056" spans="1:28" s="227" customFormat="1" ht="20.25">
      <c r="A1056" s="321"/>
      <c r="B1056" s="313"/>
      <c r="C1056" s="314"/>
      <c r="D1056" s="315"/>
      <c r="E1056" s="313"/>
      <c r="F1056" s="313"/>
      <c r="G1056" s="313"/>
      <c r="H1056" s="316"/>
      <c r="I1056" s="317"/>
      <c r="J1056" s="317"/>
      <c r="K1056" s="318"/>
      <c r="L1056" s="318"/>
      <c r="M1056" s="318"/>
      <c r="N1056" s="318"/>
      <c r="O1056" s="318"/>
      <c r="P1056" s="319"/>
      <c r="Q1056" s="320"/>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si="151"/>
        <v>0</v>
      </c>
      <c r="AB1056" s="228" t="str">
        <f t="shared" si="152"/>
        <v/>
      </c>
    </row>
    <row r="1057" spans="1:28" s="227" customFormat="1" ht="20.25">
      <c r="A1057" s="321"/>
      <c r="B1057" s="313"/>
      <c r="C1057" s="314"/>
      <c r="D1057" s="315"/>
      <c r="E1057" s="313"/>
      <c r="F1057" s="313"/>
      <c r="G1057" s="313"/>
      <c r="H1057" s="316"/>
      <c r="I1057" s="317"/>
      <c r="J1057" s="317"/>
      <c r="K1057" s="318"/>
      <c r="L1057" s="318"/>
      <c r="M1057" s="318"/>
      <c r="N1057" s="318"/>
      <c r="O1057" s="318"/>
      <c r="P1057" s="319"/>
      <c r="Q1057" s="320"/>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si="151"/>
        <v>0</v>
      </c>
      <c r="AB1057" s="228" t="str">
        <f t="shared" si="152"/>
        <v/>
      </c>
    </row>
    <row r="1058" spans="1:28" s="227" customFormat="1" ht="20.25">
      <c r="A1058" s="321"/>
      <c r="B1058" s="313"/>
      <c r="C1058" s="314"/>
      <c r="D1058" s="315"/>
      <c r="E1058" s="313"/>
      <c r="F1058" s="313"/>
      <c r="G1058" s="313"/>
      <c r="H1058" s="316"/>
      <c r="I1058" s="317"/>
      <c r="J1058" s="317"/>
      <c r="K1058" s="318"/>
      <c r="L1058" s="318"/>
      <c r="M1058" s="318"/>
      <c r="N1058" s="318"/>
      <c r="O1058" s="318"/>
      <c r="P1058" s="319"/>
      <c r="Q1058" s="320"/>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si="151"/>
        <v>0</v>
      </c>
      <c r="AB1058" s="228" t="str">
        <f t="shared" si="152"/>
        <v/>
      </c>
    </row>
    <row r="1059" spans="1:28" s="227" customFormat="1" ht="20.25">
      <c r="A1059" s="321"/>
      <c r="B1059" s="313"/>
      <c r="C1059" s="314"/>
      <c r="D1059" s="315"/>
      <c r="E1059" s="313"/>
      <c r="F1059" s="313"/>
      <c r="G1059" s="313"/>
      <c r="H1059" s="316"/>
      <c r="I1059" s="317"/>
      <c r="J1059" s="317"/>
      <c r="K1059" s="318"/>
      <c r="L1059" s="318"/>
      <c r="M1059" s="318"/>
      <c r="N1059" s="318"/>
      <c r="O1059" s="318"/>
      <c r="P1059" s="319"/>
      <c r="Q1059" s="320"/>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si="151"/>
        <v>0</v>
      </c>
      <c r="AB1059" s="228" t="str">
        <f t="shared" si="152"/>
        <v/>
      </c>
    </row>
    <row r="1060" spans="1:28" s="227" customFormat="1" ht="20.25">
      <c r="A1060" s="321"/>
      <c r="B1060" s="313"/>
      <c r="C1060" s="314"/>
      <c r="D1060" s="315"/>
      <c r="E1060" s="313"/>
      <c r="F1060" s="313"/>
      <c r="G1060" s="313"/>
      <c r="H1060" s="316"/>
      <c r="I1060" s="317"/>
      <c r="J1060" s="317"/>
      <c r="K1060" s="318"/>
      <c r="L1060" s="318"/>
      <c r="M1060" s="318"/>
      <c r="N1060" s="318"/>
      <c r="O1060" s="318"/>
      <c r="P1060" s="319"/>
      <c r="Q1060" s="320"/>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si="151"/>
        <v>0</v>
      </c>
      <c r="AB1060" s="228" t="str">
        <f t="shared" si="152"/>
        <v/>
      </c>
    </row>
    <row r="1061" spans="1:28" s="227" customFormat="1" ht="20.25">
      <c r="A1061" s="321"/>
      <c r="B1061" s="313"/>
      <c r="C1061" s="314"/>
      <c r="D1061" s="315"/>
      <c r="E1061" s="313"/>
      <c r="F1061" s="313"/>
      <c r="G1061" s="313"/>
      <c r="H1061" s="316"/>
      <c r="I1061" s="317"/>
      <c r="J1061" s="317"/>
      <c r="K1061" s="318"/>
      <c r="L1061" s="318"/>
      <c r="M1061" s="318"/>
      <c r="N1061" s="318"/>
      <c r="O1061" s="318"/>
      <c r="P1061" s="319"/>
      <c r="Q1061" s="320"/>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si="151"/>
        <v>0</v>
      </c>
      <c r="AB1061" s="228" t="str">
        <f t="shared" si="152"/>
        <v/>
      </c>
    </row>
    <row r="1062" spans="1:28" s="227" customFormat="1" ht="20.25">
      <c r="A1062" s="321"/>
      <c r="B1062" s="313"/>
      <c r="C1062" s="314"/>
      <c r="D1062" s="315"/>
      <c r="E1062" s="313"/>
      <c r="F1062" s="313"/>
      <c r="G1062" s="313"/>
      <c r="H1062" s="316"/>
      <c r="I1062" s="317"/>
      <c r="J1062" s="317"/>
      <c r="K1062" s="318"/>
      <c r="L1062" s="318"/>
      <c r="M1062" s="318"/>
      <c r="N1062" s="318"/>
      <c r="O1062" s="318"/>
      <c r="P1062" s="319"/>
      <c r="Q1062" s="320"/>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si="151"/>
        <v>0</v>
      </c>
      <c r="AB1062" s="228" t="str">
        <f t="shared" si="152"/>
        <v/>
      </c>
    </row>
    <row r="1063" spans="1:28" s="227" customFormat="1" ht="20.25">
      <c r="A1063" s="321"/>
      <c r="B1063" s="313"/>
      <c r="C1063" s="314"/>
      <c r="D1063" s="315"/>
      <c r="E1063" s="313"/>
      <c r="F1063" s="313"/>
      <c r="G1063" s="313"/>
      <c r="H1063" s="316"/>
      <c r="I1063" s="317"/>
      <c r="J1063" s="317"/>
      <c r="K1063" s="318"/>
      <c r="L1063" s="318"/>
      <c r="M1063" s="318"/>
      <c r="N1063" s="318"/>
      <c r="O1063" s="318"/>
      <c r="P1063" s="319"/>
      <c r="Q1063" s="320"/>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si="151"/>
        <v>0</v>
      </c>
      <c r="AB1063" s="228" t="str">
        <f t="shared" si="152"/>
        <v/>
      </c>
    </row>
    <row r="1064" spans="1:28" s="227" customFormat="1" ht="20.25">
      <c r="A1064" s="321"/>
      <c r="B1064" s="313"/>
      <c r="C1064" s="314"/>
      <c r="D1064" s="315"/>
      <c r="E1064" s="313"/>
      <c r="F1064" s="313"/>
      <c r="G1064" s="313"/>
      <c r="H1064" s="316"/>
      <c r="I1064" s="317"/>
      <c r="J1064" s="317"/>
      <c r="K1064" s="318"/>
      <c r="L1064" s="318"/>
      <c r="M1064" s="318"/>
      <c r="N1064" s="318"/>
      <c r="O1064" s="318"/>
      <c r="P1064" s="319"/>
      <c r="Q1064" s="320"/>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si="151"/>
        <v>0</v>
      </c>
      <c r="AB1064" s="228" t="str">
        <f t="shared" si="152"/>
        <v/>
      </c>
    </row>
    <row r="1065" spans="1:28" s="227" customFormat="1" ht="20.25">
      <c r="A1065" s="321"/>
      <c r="B1065" s="313"/>
      <c r="C1065" s="314"/>
      <c r="D1065" s="315"/>
      <c r="E1065" s="313"/>
      <c r="F1065" s="313"/>
      <c r="G1065" s="313"/>
      <c r="H1065" s="316"/>
      <c r="I1065" s="317"/>
      <c r="J1065" s="317"/>
      <c r="K1065" s="318"/>
      <c r="L1065" s="318"/>
      <c r="M1065" s="318"/>
      <c r="N1065" s="318"/>
      <c r="O1065" s="318"/>
      <c r="P1065" s="319"/>
      <c r="Q1065" s="320"/>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si="151"/>
        <v>0</v>
      </c>
      <c r="AB1065" s="228" t="str">
        <f t="shared" si="152"/>
        <v/>
      </c>
    </row>
    <row r="1066" spans="1:28" s="227" customFormat="1" ht="20.25">
      <c r="A1066" s="321"/>
      <c r="B1066" s="313"/>
      <c r="C1066" s="314"/>
      <c r="D1066" s="315"/>
      <c r="E1066" s="313"/>
      <c r="F1066" s="313"/>
      <c r="G1066" s="313"/>
      <c r="H1066" s="316"/>
      <c r="I1066" s="317"/>
      <c r="J1066" s="317"/>
      <c r="K1066" s="318"/>
      <c r="L1066" s="318"/>
      <c r="M1066" s="318"/>
      <c r="N1066" s="318"/>
      <c r="O1066" s="318"/>
      <c r="P1066" s="319"/>
      <c r="Q1066" s="320"/>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si="151"/>
        <v>0</v>
      </c>
      <c r="AB1066" s="228" t="str">
        <f t="shared" si="152"/>
        <v/>
      </c>
    </row>
    <row r="1067" spans="1:28" s="227" customFormat="1" ht="20.25">
      <c r="A1067" s="321"/>
      <c r="B1067" s="313"/>
      <c r="C1067" s="314"/>
      <c r="D1067" s="315"/>
      <c r="E1067" s="313"/>
      <c r="F1067" s="313"/>
      <c r="G1067" s="313"/>
      <c r="H1067" s="316"/>
      <c r="I1067" s="317"/>
      <c r="J1067" s="317"/>
      <c r="K1067" s="318"/>
      <c r="L1067" s="318"/>
      <c r="M1067" s="318"/>
      <c r="N1067" s="318"/>
      <c r="O1067" s="318"/>
      <c r="P1067" s="319"/>
      <c r="Q1067" s="320"/>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si="151"/>
        <v>0</v>
      </c>
      <c r="AB1067" s="228" t="str">
        <f t="shared" si="152"/>
        <v/>
      </c>
    </row>
    <row r="1068" spans="1:28" s="227" customFormat="1" ht="20.25">
      <c r="A1068" s="321"/>
      <c r="B1068" s="313"/>
      <c r="C1068" s="314"/>
      <c r="D1068" s="315"/>
      <c r="E1068" s="313"/>
      <c r="F1068" s="313"/>
      <c r="G1068" s="313"/>
      <c r="H1068" s="316"/>
      <c r="I1068" s="317"/>
      <c r="J1068" s="317"/>
      <c r="K1068" s="318"/>
      <c r="L1068" s="318"/>
      <c r="M1068" s="318"/>
      <c r="N1068" s="318"/>
      <c r="O1068" s="318"/>
      <c r="P1068" s="319"/>
      <c r="Q1068" s="320"/>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si="151"/>
        <v>0</v>
      </c>
      <c r="AB1068" s="228" t="str">
        <f t="shared" si="152"/>
        <v/>
      </c>
    </row>
    <row r="1069" spans="1:28" s="227" customFormat="1" ht="20.25">
      <c r="A1069" s="321"/>
      <c r="B1069" s="313"/>
      <c r="C1069" s="314"/>
      <c r="D1069" s="315"/>
      <c r="E1069" s="313"/>
      <c r="F1069" s="313"/>
      <c r="G1069" s="313"/>
      <c r="H1069" s="316"/>
      <c r="I1069" s="317"/>
      <c r="J1069" s="317"/>
      <c r="K1069" s="318"/>
      <c r="L1069" s="318"/>
      <c r="M1069" s="318"/>
      <c r="N1069" s="318"/>
      <c r="O1069" s="318"/>
      <c r="P1069" s="319"/>
      <c r="Q1069" s="320"/>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si="151"/>
        <v>0</v>
      </c>
      <c r="AB1069" s="228" t="str">
        <f t="shared" si="152"/>
        <v/>
      </c>
    </row>
    <row r="1070" spans="1:28" s="227" customFormat="1" ht="20.25">
      <c r="A1070" s="321"/>
      <c r="B1070" s="313"/>
      <c r="C1070" s="314"/>
      <c r="D1070" s="315"/>
      <c r="E1070" s="313"/>
      <c r="F1070" s="313"/>
      <c r="G1070" s="313"/>
      <c r="H1070" s="316"/>
      <c r="I1070" s="317"/>
      <c r="J1070" s="317"/>
      <c r="K1070" s="318"/>
      <c r="L1070" s="318"/>
      <c r="M1070" s="318"/>
      <c r="N1070" s="318"/>
      <c r="O1070" s="318"/>
      <c r="P1070" s="319"/>
      <c r="Q1070" s="320"/>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si="151"/>
        <v>0</v>
      </c>
      <c r="AB1070" s="228" t="str">
        <f t="shared" si="152"/>
        <v/>
      </c>
    </row>
    <row r="1071" spans="1:28" s="227" customFormat="1" ht="20.25">
      <c r="A1071" s="321"/>
      <c r="B1071" s="313"/>
      <c r="C1071" s="314"/>
      <c r="D1071" s="315"/>
      <c r="E1071" s="313"/>
      <c r="F1071" s="313"/>
      <c r="G1071" s="313"/>
      <c r="H1071" s="316"/>
      <c r="I1071" s="317"/>
      <c r="J1071" s="317"/>
      <c r="K1071" s="318"/>
      <c r="L1071" s="318"/>
      <c r="M1071" s="318"/>
      <c r="N1071" s="318"/>
      <c r="O1071" s="318"/>
      <c r="P1071" s="319"/>
      <c r="Q1071" s="320"/>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si="151"/>
        <v>0</v>
      </c>
      <c r="AB1071" s="228" t="str">
        <f t="shared" si="152"/>
        <v/>
      </c>
    </row>
    <row r="1072" spans="1:28" s="227" customFormat="1" ht="20.25">
      <c r="A1072" s="321"/>
      <c r="B1072" s="313"/>
      <c r="C1072" s="314"/>
      <c r="D1072" s="315"/>
      <c r="E1072" s="313"/>
      <c r="F1072" s="313"/>
      <c r="G1072" s="313"/>
      <c r="H1072" s="316"/>
      <c r="I1072" s="317"/>
      <c r="J1072" s="317"/>
      <c r="K1072" s="318"/>
      <c r="L1072" s="318"/>
      <c r="M1072" s="318"/>
      <c r="N1072" s="318"/>
      <c r="O1072" s="318"/>
      <c r="P1072" s="319"/>
      <c r="Q1072" s="320"/>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si="151"/>
        <v>0</v>
      </c>
      <c r="AB1072" s="228" t="str">
        <f t="shared" si="152"/>
        <v/>
      </c>
    </row>
    <row r="1073" spans="1:28" s="227" customFormat="1" ht="20.25">
      <c r="A1073" s="321"/>
      <c r="B1073" s="313"/>
      <c r="C1073" s="314"/>
      <c r="D1073" s="315"/>
      <c r="E1073" s="313"/>
      <c r="F1073" s="313"/>
      <c r="G1073" s="313"/>
      <c r="H1073" s="316"/>
      <c r="I1073" s="317"/>
      <c r="J1073" s="317"/>
      <c r="K1073" s="318"/>
      <c r="L1073" s="318"/>
      <c r="M1073" s="318"/>
      <c r="N1073" s="318"/>
      <c r="O1073" s="318"/>
      <c r="P1073" s="319"/>
      <c r="Q1073" s="320"/>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si="151"/>
        <v>0</v>
      </c>
      <c r="AB1073" s="228" t="str">
        <f t="shared" si="152"/>
        <v/>
      </c>
    </row>
    <row r="1074" spans="1:28" s="227" customFormat="1" ht="20.25">
      <c r="A1074" s="321"/>
      <c r="B1074" s="313"/>
      <c r="C1074" s="314"/>
      <c r="D1074" s="315"/>
      <c r="E1074" s="313"/>
      <c r="F1074" s="313"/>
      <c r="G1074" s="313"/>
      <c r="H1074" s="316"/>
      <c r="I1074" s="317"/>
      <c r="J1074" s="317"/>
      <c r="K1074" s="318"/>
      <c r="L1074" s="318"/>
      <c r="M1074" s="318"/>
      <c r="N1074" s="318"/>
      <c r="O1074" s="318"/>
      <c r="P1074" s="319"/>
      <c r="Q1074" s="320"/>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si="151"/>
        <v>0</v>
      </c>
      <c r="AB1074" s="228" t="str">
        <f t="shared" si="152"/>
        <v/>
      </c>
    </row>
    <row r="1075" spans="1:28" s="227" customFormat="1" ht="20.25">
      <c r="A1075" s="321"/>
      <c r="B1075" s="313"/>
      <c r="C1075" s="314"/>
      <c r="D1075" s="315"/>
      <c r="E1075" s="313"/>
      <c r="F1075" s="313"/>
      <c r="G1075" s="313"/>
      <c r="H1075" s="316"/>
      <c r="I1075" s="317"/>
      <c r="J1075" s="317"/>
      <c r="K1075" s="318"/>
      <c r="L1075" s="318"/>
      <c r="M1075" s="318"/>
      <c r="N1075" s="318"/>
      <c r="O1075" s="318"/>
      <c r="P1075" s="319"/>
      <c r="Q1075" s="320"/>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si="151"/>
        <v>0</v>
      </c>
      <c r="AB1075" s="228" t="str">
        <f t="shared" si="152"/>
        <v/>
      </c>
    </row>
    <row r="1076" spans="1:28" s="227" customFormat="1" ht="20.25">
      <c r="A1076" s="321"/>
      <c r="B1076" s="313"/>
      <c r="C1076" s="314"/>
      <c r="D1076" s="315"/>
      <c r="E1076" s="313"/>
      <c r="F1076" s="313"/>
      <c r="G1076" s="313"/>
      <c r="H1076" s="316"/>
      <c r="I1076" s="317"/>
      <c r="J1076" s="317"/>
      <c r="K1076" s="318"/>
      <c r="L1076" s="318"/>
      <c r="M1076" s="318"/>
      <c r="N1076" s="318"/>
      <c r="O1076" s="318"/>
      <c r="P1076" s="319"/>
      <c r="Q1076" s="320"/>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si="151"/>
        <v>0</v>
      </c>
      <c r="AB1076" s="228" t="str">
        <f t="shared" si="152"/>
        <v/>
      </c>
    </row>
    <row r="1077" spans="1:28" s="227" customFormat="1" ht="20.25">
      <c r="A1077" s="321"/>
      <c r="B1077" s="313"/>
      <c r="C1077" s="314"/>
      <c r="D1077" s="315"/>
      <c r="E1077" s="313"/>
      <c r="F1077" s="313"/>
      <c r="G1077" s="313"/>
      <c r="H1077" s="316"/>
      <c r="I1077" s="317"/>
      <c r="J1077" s="317"/>
      <c r="K1077" s="318"/>
      <c r="L1077" s="318"/>
      <c r="M1077" s="318"/>
      <c r="N1077" s="318"/>
      <c r="O1077" s="318"/>
      <c r="P1077" s="319"/>
      <c r="Q1077" s="320"/>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si="151"/>
        <v>0</v>
      </c>
      <c r="AB1077" s="228" t="str">
        <f t="shared" si="152"/>
        <v/>
      </c>
    </row>
    <row r="1078" spans="1:28" s="227" customFormat="1" ht="20.25">
      <c r="A1078" s="321"/>
      <c r="B1078" s="313"/>
      <c r="C1078" s="314"/>
      <c r="D1078" s="315"/>
      <c r="E1078" s="313"/>
      <c r="F1078" s="313"/>
      <c r="G1078" s="313"/>
      <c r="H1078" s="316"/>
      <c r="I1078" s="317"/>
      <c r="J1078" s="317"/>
      <c r="K1078" s="318"/>
      <c r="L1078" s="318"/>
      <c r="M1078" s="318"/>
      <c r="N1078" s="318"/>
      <c r="O1078" s="318"/>
      <c r="P1078" s="319"/>
      <c r="Q1078" s="320"/>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si="151"/>
        <v>0</v>
      </c>
      <c r="AB1078" s="228" t="str">
        <f t="shared" si="152"/>
        <v/>
      </c>
    </row>
    <row r="1079" spans="1:28" s="227" customFormat="1" ht="20.25">
      <c r="A1079" s="321"/>
      <c r="B1079" s="313"/>
      <c r="C1079" s="314"/>
      <c r="D1079" s="315"/>
      <c r="E1079" s="313"/>
      <c r="F1079" s="313"/>
      <c r="G1079" s="313"/>
      <c r="H1079" s="316"/>
      <c r="I1079" s="317"/>
      <c r="J1079" s="317"/>
      <c r="K1079" s="318"/>
      <c r="L1079" s="318"/>
      <c r="M1079" s="318"/>
      <c r="N1079" s="318"/>
      <c r="O1079" s="318"/>
      <c r="P1079" s="319"/>
      <c r="Q1079" s="320"/>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si="151"/>
        <v>0</v>
      </c>
      <c r="AB1079" s="228" t="str">
        <f t="shared" si="152"/>
        <v/>
      </c>
    </row>
    <row r="1080" spans="1:28" s="227" customFormat="1" ht="20.25">
      <c r="A1080" s="321"/>
      <c r="B1080" s="313"/>
      <c r="C1080" s="314"/>
      <c r="D1080" s="315"/>
      <c r="E1080" s="313"/>
      <c r="F1080" s="313"/>
      <c r="G1080" s="313"/>
      <c r="H1080" s="316"/>
      <c r="I1080" s="317"/>
      <c r="J1080" s="317"/>
      <c r="K1080" s="318"/>
      <c r="L1080" s="318"/>
      <c r="M1080" s="318"/>
      <c r="N1080" s="318"/>
      <c r="O1080" s="318"/>
      <c r="P1080" s="319"/>
      <c r="Q1080" s="320"/>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si="151"/>
        <v>0</v>
      </c>
      <c r="AB1080" s="228" t="str">
        <f t="shared" si="152"/>
        <v/>
      </c>
    </row>
    <row r="1081" spans="1:28" s="227" customFormat="1" ht="20.25">
      <c r="A1081" s="321"/>
      <c r="B1081" s="313"/>
      <c r="C1081" s="314"/>
      <c r="D1081" s="315"/>
      <c r="E1081" s="313"/>
      <c r="F1081" s="313"/>
      <c r="G1081" s="313"/>
      <c r="H1081" s="316"/>
      <c r="I1081" s="317"/>
      <c r="J1081" s="317"/>
      <c r="K1081" s="318"/>
      <c r="L1081" s="318"/>
      <c r="M1081" s="318"/>
      <c r="N1081" s="318"/>
      <c r="O1081" s="318"/>
      <c r="P1081" s="319"/>
      <c r="Q1081" s="320"/>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si="151"/>
        <v>0</v>
      </c>
      <c r="AB1081" s="228" t="str">
        <f t="shared" si="152"/>
        <v/>
      </c>
    </row>
    <row r="1082" spans="1:28" s="227" customFormat="1" ht="20.25">
      <c r="A1082" s="321"/>
      <c r="B1082" s="313"/>
      <c r="C1082" s="314"/>
      <c r="D1082" s="315"/>
      <c r="E1082" s="313"/>
      <c r="F1082" s="313"/>
      <c r="G1082" s="313"/>
      <c r="H1082" s="316"/>
      <c r="I1082" s="317"/>
      <c r="J1082" s="317"/>
      <c r="K1082" s="318"/>
      <c r="L1082" s="318"/>
      <c r="M1082" s="318"/>
      <c r="N1082" s="318"/>
      <c r="O1082" s="318"/>
      <c r="P1082" s="319"/>
      <c r="Q1082" s="320"/>
      <c r="R1082" s="182" t="str">
        <f ca="1">IF(ISERROR($V1082),"",OFFSET('Smelter Look-up'!$C$4,$V1082-4,0)&amp;"")</f>
        <v/>
      </c>
      <c r="S1082" s="181" t="str">
        <f t="shared" ca="1" si="15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si="151"/>
        <v>0</v>
      </c>
      <c r="AB1082" s="228" t="str">
        <f t="shared" si="152"/>
        <v/>
      </c>
    </row>
    <row r="1083" spans="1:28" s="227" customFormat="1" ht="20.25">
      <c r="A1083" s="321"/>
      <c r="B1083" s="313"/>
      <c r="C1083" s="314"/>
      <c r="D1083" s="315"/>
      <c r="E1083" s="313"/>
      <c r="F1083" s="313"/>
      <c r="G1083" s="313"/>
      <c r="H1083" s="316"/>
      <c r="I1083" s="317"/>
      <c r="J1083" s="317"/>
      <c r="K1083" s="318"/>
      <c r="L1083" s="318"/>
      <c r="M1083" s="318"/>
      <c r="N1083" s="318"/>
      <c r="O1083" s="318"/>
      <c r="P1083" s="319"/>
      <c r="Q1083" s="320"/>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si="154">IF(AND(C1083="Smelter not listed",OR(LEN(D1083)=0,LEN(E1083)=0)),1,0)</f>
        <v>0</v>
      </c>
      <c r="AB1083" s="228" t="str">
        <f t="shared" ref="AB1083" si="155">B1083&amp;C1083</f>
        <v/>
      </c>
    </row>
    <row r="1084" spans="1:28" s="227" customFormat="1" ht="20.25">
      <c r="A1084" s="321"/>
      <c r="B1084" s="313"/>
      <c r="C1084" s="314"/>
      <c r="D1084" s="315"/>
      <c r="E1084" s="313"/>
      <c r="F1084" s="313"/>
      <c r="G1084" s="313"/>
      <c r="H1084" s="316"/>
      <c r="I1084" s="317"/>
      <c r="J1084" s="317"/>
      <c r="K1084" s="318"/>
      <c r="L1084" s="318"/>
      <c r="M1084" s="318"/>
      <c r="N1084" s="318"/>
      <c r="O1084" s="318"/>
      <c r="P1084" s="319"/>
      <c r="Q1084" s="320"/>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si="157">IF(AND(C1084="Smelter not listed",OR(LEN(D1084)=0,LEN(E1084)=0)),1,0)</f>
        <v>0</v>
      </c>
      <c r="AB1084" s="228" t="str">
        <f t="shared" ref="AB1084:AB1115" si="158">B1084&amp;C1084</f>
        <v/>
      </c>
    </row>
    <row r="1085" spans="1:28" s="227" customFormat="1" ht="20.25">
      <c r="A1085" s="321"/>
      <c r="B1085" s="313"/>
      <c r="C1085" s="314"/>
      <c r="D1085" s="315"/>
      <c r="E1085" s="313"/>
      <c r="F1085" s="313"/>
      <c r="G1085" s="313"/>
      <c r="H1085" s="316"/>
      <c r="I1085" s="317"/>
      <c r="J1085" s="317"/>
      <c r="K1085" s="318"/>
      <c r="L1085" s="318"/>
      <c r="M1085" s="318"/>
      <c r="N1085" s="318"/>
      <c r="O1085" s="318"/>
      <c r="P1085" s="319"/>
      <c r="Q1085" s="320"/>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si="157"/>
        <v>0</v>
      </c>
      <c r="AB1085" s="228" t="str">
        <f t="shared" si="158"/>
        <v/>
      </c>
    </row>
    <row r="1086" spans="1:28" s="227" customFormat="1" ht="20.25">
      <c r="A1086" s="321"/>
      <c r="B1086" s="313"/>
      <c r="C1086" s="314"/>
      <c r="D1086" s="315"/>
      <c r="E1086" s="313"/>
      <c r="F1086" s="313"/>
      <c r="G1086" s="313"/>
      <c r="H1086" s="316"/>
      <c r="I1086" s="317"/>
      <c r="J1086" s="317"/>
      <c r="K1086" s="318"/>
      <c r="L1086" s="318"/>
      <c r="M1086" s="318"/>
      <c r="N1086" s="318"/>
      <c r="O1086" s="318"/>
      <c r="P1086" s="319"/>
      <c r="Q1086" s="320"/>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si="157"/>
        <v>0</v>
      </c>
      <c r="AB1086" s="228" t="str">
        <f t="shared" si="158"/>
        <v/>
      </c>
    </row>
    <row r="1087" spans="1:28" s="227" customFormat="1" ht="20.25">
      <c r="A1087" s="321"/>
      <c r="B1087" s="313"/>
      <c r="C1087" s="314"/>
      <c r="D1087" s="315"/>
      <c r="E1087" s="313"/>
      <c r="F1087" s="313"/>
      <c r="G1087" s="313"/>
      <c r="H1087" s="316"/>
      <c r="I1087" s="317"/>
      <c r="J1087" s="317"/>
      <c r="K1087" s="318"/>
      <c r="L1087" s="318"/>
      <c r="M1087" s="318"/>
      <c r="N1087" s="318"/>
      <c r="O1087" s="318"/>
      <c r="P1087" s="319"/>
      <c r="Q1087" s="320"/>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si="157"/>
        <v>0</v>
      </c>
      <c r="AB1087" s="228" t="str">
        <f t="shared" si="158"/>
        <v/>
      </c>
    </row>
    <row r="1088" spans="1:28" s="227" customFormat="1" ht="20.25">
      <c r="A1088" s="321"/>
      <c r="B1088" s="313"/>
      <c r="C1088" s="314"/>
      <c r="D1088" s="315"/>
      <c r="E1088" s="313"/>
      <c r="F1088" s="313"/>
      <c r="G1088" s="313"/>
      <c r="H1088" s="316"/>
      <c r="I1088" s="317"/>
      <c r="J1088" s="317"/>
      <c r="K1088" s="318"/>
      <c r="L1088" s="318"/>
      <c r="M1088" s="318"/>
      <c r="N1088" s="318"/>
      <c r="O1088" s="318"/>
      <c r="P1088" s="319"/>
      <c r="Q1088" s="320"/>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si="157"/>
        <v>0</v>
      </c>
      <c r="AB1088" s="228" t="str">
        <f t="shared" si="158"/>
        <v/>
      </c>
    </row>
    <row r="1089" spans="1:28" s="227" customFormat="1" ht="20.25">
      <c r="A1089" s="321"/>
      <c r="B1089" s="313"/>
      <c r="C1089" s="314"/>
      <c r="D1089" s="315"/>
      <c r="E1089" s="313"/>
      <c r="F1089" s="313"/>
      <c r="G1089" s="313"/>
      <c r="H1089" s="316"/>
      <c r="I1089" s="317"/>
      <c r="J1089" s="317"/>
      <c r="K1089" s="318"/>
      <c r="L1089" s="318"/>
      <c r="M1089" s="318"/>
      <c r="N1089" s="318"/>
      <c r="O1089" s="318"/>
      <c r="P1089" s="319"/>
      <c r="Q1089" s="320"/>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si="157"/>
        <v>0</v>
      </c>
      <c r="AB1089" s="228" t="str">
        <f t="shared" si="158"/>
        <v/>
      </c>
    </row>
    <row r="1090" spans="1:28" s="227" customFormat="1" ht="20.25">
      <c r="A1090" s="321"/>
      <c r="B1090" s="313"/>
      <c r="C1090" s="314"/>
      <c r="D1090" s="315"/>
      <c r="E1090" s="313"/>
      <c r="F1090" s="313"/>
      <c r="G1090" s="313"/>
      <c r="H1090" s="316"/>
      <c r="I1090" s="317"/>
      <c r="J1090" s="317"/>
      <c r="K1090" s="318"/>
      <c r="L1090" s="318"/>
      <c r="M1090" s="318"/>
      <c r="N1090" s="318"/>
      <c r="O1090" s="318"/>
      <c r="P1090" s="319"/>
      <c r="Q1090" s="320"/>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si="157"/>
        <v>0</v>
      </c>
      <c r="AB1090" s="228" t="str">
        <f t="shared" si="158"/>
        <v/>
      </c>
    </row>
    <row r="1091" spans="1:28" s="227" customFormat="1" ht="20.25">
      <c r="A1091" s="321"/>
      <c r="B1091" s="313"/>
      <c r="C1091" s="314"/>
      <c r="D1091" s="315"/>
      <c r="E1091" s="313"/>
      <c r="F1091" s="313"/>
      <c r="G1091" s="313"/>
      <c r="H1091" s="316"/>
      <c r="I1091" s="317"/>
      <c r="J1091" s="317"/>
      <c r="K1091" s="318"/>
      <c r="L1091" s="318"/>
      <c r="M1091" s="318"/>
      <c r="N1091" s="318"/>
      <c r="O1091" s="318"/>
      <c r="P1091" s="319"/>
      <c r="Q1091" s="320"/>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si="157"/>
        <v>0</v>
      </c>
      <c r="AB1091" s="228" t="str">
        <f t="shared" si="158"/>
        <v/>
      </c>
    </row>
    <row r="1092" spans="1:28" s="227" customFormat="1" ht="20.25">
      <c r="A1092" s="321"/>
      <c r="B1092" s="313"/>
      <c r="C1092" s="314"/>
      <c r="D1092" s="315"/>
      <c r="E1092" s="313"/>
      <c r="F1092" s="313"/>
      <c r="G1092" s="313"/>
      <c r="H1092" s="316"/>
      <c r="I1092" s="317"/>
      <c r="J1092" s="317"/>
      <c r="K1092" s="318"/>
      <c r="L1092" s="318"/>
      <c r="M1092" s="318"/>
      <c r="N1092" s="318"/>
      <c r="O1092" s="318"/>
      <c r="P1092" s="319"/>
      <c r="Q1092" s="320"/>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si="157"/>
        <v>0</v>
      </c>
      <c r="AB1092" s="228" t="str">
        <f t="shared" si="158"/>
        <v/>
      </c>
    </row>
    <row r="1093" spans="1:28" s="227" customFormat="1" ht="20.25">
      <c r="A1093" s="321"/>
      <c r="B1093" s="313"/>
      <c r="C1093" s="314"/>
      <c r="D1093" s="315"/>
      <c r="E1093" s="313"/>
      <c r="F1093" s="313"/>
      <c r="G1093" s="313"/>
      <c r="H1093" s="316"/>
      <c r="I1093" s="317"/>
      <c r="J1093" s="317"/>
      <c r="K1093" s="318"/>
      <c r="L1093" s="318"/>
      <c r="M1093" s="318"/>
      <c r="N1093" s="318"/>
      <c r="O1093" s="318"/>
      <c r="P1093" s="319"/>
      <c r="Q1093" s="320"/>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si="157"/>
        <v>0</v>
      </c>
      <c r="AB1093" s="228" t="str">
        <f t="shared" si="158"/>
        <v/>
      </c>
    </row>
    <row r="1094" spans="1:28" s="227" customFormat="1" ht="20.25">
      <c r="A1094" s="321"/>
      <c r="B1094" s="313"/>
      <c r="C1094" s="314"/>
      <c r="D1094" s="315"/>
      <c r="E1094" s="313"/>
      <c r="F1094" s="313"/>
      <c r="G1094" s="313"/>
      <c r="H1094" s="316"/>
      <c r="I1094" s="317"/>
      <c r="J1094" s="317"/>
      <c r="K1094" s="318"/>
      <c r="L1094" s="318"/>
      <c r="M1094" s="318"/>
      <c r="N1094" s="318"/>
      <c r="O1094" s="318"/>
      <c r="P1094" s="319"/>
      <c r="Q1094" s="320"/>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si="157"/>
        <v>0</v>
      </c>
      <c r="AB1094" s="228" t="str">
        <f t="shared" si="158"/>
        <v/>
      </c>
    </row>
    <row r="1095" spans="1:28" s="227" customFormat="1" ht="20.25">
      <c r="A1095" s="321"/>
      <c r="B1095" s="313"/>
      <c r="C1095" s="314"/>
      <c r="D1095" s="315"/>
      <c r="E1095" s="313"/>
      <c r="F1095" s="313"/>
      <c r="G1095" s="313"/>
      <c r="H1095" s="316"/>
      <c r="I1095" s="317"/>
      <c r="J1095" s="317"/>
      <c r="K1095" s="318"/>
      <c r="L1095" s="318"/>
      <c r="M1095" s="318"/>
      <c r="N1095" s="318"/>
      <c r="O1095" s="318"/>
      <c r="P1095" s="319"/>
      <c r="Q1095" s="320"/>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si="157"/>
        <v>0</v>
      </c>
      <c r="AB1095" s="228" t="str">
        <f t="shared" si="158"/>
        <v/>
      </c>
    </row>
    <row r="1096" spans="1:28" s="227" customFormat="1" ht="20.25">
      <c r="A1096" s="321"/>
      <c r="B1096" s="313"/>
      <c r="C1096" s="314"/>
      <c r="D1096" s="315"/>
      <c r="E1096" s="313"/>
      <c r="F1096" s="313"/>
      <c r="G1096" s="313"/>
      <c r="H1096" s="316"/>
      <c r="I1096" s="317"/>
      <c r="J1096" s="317"/>
      <c r="K1096" s="318"/>
      <c r="L1096" s="318"/>
      <c r="M1096" s="318"/>
      <c r="N1096" s="318"/>
      <c r="O1096" s="318"/>
      <c r="P1096" s="319"/>
      <c r="Q1096" s="320"/>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si="157"/>
        <v>0</v>
      </c>
      <c r="AB1096" s="228" t="str">
        <f t="shared" si="158"/>
        <v/>
      </c>
    </row>
    <row r="1097" spans="1:28" s="227" customFormat="1" ht="20.25">
      <c r="A1097" s="321"/>
      <c r="B1097" s="313"/>
      <c r="C1097" s="314"/>
      <c r="D1097" s="315"/>
      <c r="E1097" s="313"/>
      <c r="F1097" s="313"/>
      <c r="G1097" s="313"/>
      <c r="H1097" s="316"/>
      <c r="I1097" s="317"/>
      <c r="J1097" s="317"/>
      <c r="K1097" s="318"/>
      <c r="L1097" s="318"/>
      <c r="M1097" s="318"/>
      <c r="N1097" s="318"/>
      <c r="O1097" s="318"/>
      <c r="P1097" s="319"/>
      <c r="Q1097" s="320"/>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si="157"/>
        <v>0</v>
      </c>
      <c r="AB1097" s="228" t="str">
        <f t="shared" si="158"/>
        <v/>
      </c>
    </row>
    <row r="1098" spans="1:28" s="227" customFormat="1" ht="20.25">
      <c r="A1098" s="321"/>
      <c r="B1098" s="313"/>
      <c r="C1098" s="314"/>
      <c r="D1098" s="315"/>
      <c r="E1098" s="313"/>
      <c r="F1098" s="313"/>
      <c r="G1098" s="313"/>
      <c r="H1098" s="316"/>
      <c r="I1098" s="317"/>
      <c r="J1098" s="317"/>
      <c r="K1098" s="318"/>
      <c r="L1098" s="318"/>
      <c r="M1098" s="318"/>
      <c r="N1098" s="318"/>
      <c r="O1098" s="318"/>
      <c r="P1098" s="319"/>
      <c r="Q1098" s="320"/>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si="157"/>
        <v>0</v>
      </c>
      <c r="AB1098" s="228" t="str">
        <f t="shared" si="158"/>
        <v/>
      </c>
    </row>
    <row r="1099" spans="1:28" s="227" customFormat="1" ht="20.25">
      <c r="A1099" s="321"/>
      <c r="B1099" s="313"/>
      <c r="C1099" s="314"/>
      <c r="D1099" s="315"/>
      <c r="E1099" s="313"/>
      <c r="F1099" s="313"/>
      <c r="G1099" s="313"/>
      <c r="H1099" s="316"/>
      <c r="I1099" s="317"/>
      <c r="J1099" s="317"/>
      <c r="K1099" s="318"/>
      <c r="L1099" s="318"/>
      <c r="M1099" s="318"/>
      <c r="N1099" s="318"/>
      <c r="O1099" s="318"/>
      <c r="P1099" s="319"/>
      <c r="Q1099" s="320"/>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si="157"/>
        <v>0</v>
      </c>
      <c r="AB1099" s="228" t="str">
        <f t="shared" si="158"/>
        <v/>
      </c>
    </row>
    <row r="1100" spans="1:28" s="227" customFormat="1" ht="20.25">
      <c r="A1100" s="321"/>
      <c r="B1100" s="313"/>
      <c r="C1100" s="314"/>
      <c r="D1100" s="315"/>
      <c r="E1100" s="313"/>
      <c r="F1100" s="313"/>
      <c r="G1100" s="313"/>
      <c r="H1100" s="316"/>
      <c r="I1100" s="317"/>
      <c r="J1100" s="317"/>
      <c r="K1100" s="318"/>
      <c r="L1100" s="318"/>
      <c r="M1100" s="318"/>
      <c r="N1100" s="318"/>
      <c r="O1100" s="318"/>
      <c r="P1100" s="319"/>
      <c r="Q1100" s="320"/>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si="157"/>
        <v>0</v>
      </c>
      <c r="AB1100" s="228" t="str">
        <f t="shared" si="158"/>
        <v/>
      </c>
    </row>
    <row r="1101" spans="1:28" s="227" customFormat="1" ht="20.25">
      <c r="A1101" s="321"/>
      <c r="B1101" s="313"/>
      <c r="C1101" s="314"/>
      <c r="D1101" s="315"/>
      <c r="E1101" s="313"/>
      <c r="F1101" s="313"/>
      <c r="G1101" s="313"/>
      <c r="H1101" s="316"/>
      <c r="I1101" s="317"/>
      <c r="J1101" s="317"/>
      <c r="K1101" s="318"/>
      <c r="L1101" s="318"/>
      <c r="M1101" s="318"/>
      <c r="N1101" s="318"/>
      <c r="O1101" s="318"/>
      <c r="P1101" s="319"/>
      <c r="Q1101" s="320"/>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si="157"/>
        <v>0</v>
      </c>
      <c r="AB1101" s="228" t="str">
        <f t="shared" si="158"/>
        <v/>
      </c>
    </row>
    <row r="1102" spans="1:28" s="227" customFormat="1" ht="20.25">
      <c r="A1102" s="321"/>
      <c r="B1102" s="313"/>
      <c r="C1102" s="314"/>
      <c r="D1102" s="315"/>
      <c r="E1102" s="313"/>
      <c r="F1102" s="313"/>
      <c r="G1102" s="313"/>
      <c r="H1102" s="316"/>
      <c r="I1102" s="317"/>
      <c r="J1102" s="317"/>
      <c r="K1102" s="318"/>
      <c r="L1102" s="318"/>
      <c r="M1102" s="318"/>
      <c r="N1102" s="318"/>
      <c r="O1102" s="318"/>
      <c r="P1102" s="319"/>
      <c r="Q1102" s="320"/>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si="157"/>
        <v>0</v>
      </c>
      <c r="AB1102" s="228" t="str">
        <f t="shared" si="158"/>
        <v/>
      </c>
    </row>
    <row r="1103" spans="1:28" s="227" customFormat="1" ht="20.25">
      <c r="A1103" s="321"/>
      <c r="B1103" s="313"/>
      <c r="C1103" s="314"/>
      <c r="D1103" s="315"/>
      <c r="E1103" s="313"/>
      <c r="F1103" s="313"/>
      <c r="G1103" s="313"/>
      <c r="H1103" s="316"/>
      <c r="I1103" s="317"/>
      <c r="J1103" s="317"/>
      <c r="K1103" s="318"/>
      <c r="L1103" s="318"/>
      <c r="M1103" s="318"/>
      <c r="N1103" s="318"/>
      <c r="O1103" s="318"/>
      <c r="P1103" s="319"/>
      <c r="Q1103" s="320"/>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si="157"/>
        <v>0</v>
      </c>
      <c r="AB1103" s="228" t="str">
        <f t="shared" si="158"/>
        <v/>
      </c>
    </row>
    <row r="1104" spans="1:28" s="227" customFormat="1" ht="20.25">
      <c r="A1104" s="321"/>
      <c r="B1104" s="313"/>
      <c r="C1104" s="314"/>
      <c r="D1104" s="315"/>
      <c r="E1104" s="313"/>
      <c r="F1104" s="313"/>
      <c r="G1104" s="313"/>
      <c r="H1104" s="316"/>
      <c r="I1104" s="317"/>
      <c r="J1104" s="317"/>
      <c r="K1104" s="318"/>
      <c r="L1104" s="318"/>
      <c r="M1104" s="318"/>
      <c r="N1104" s="318"/>
      <c r="O1104" s="318"/>
      <c r="P1104" s="319"/>
      <c r="Q1104" s="320"/>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si="157"/>
        <v>0</v>
      </c>
      <c r="AB1104" s="228" t="str">
        <f t="shared" si="158"/>
        <v/>
      </c>
    </row>
    <row r="1105" spans="1:28" s="227" customFormat="1" ht="20.25">
      <c r="A1105" s="321"/>
      <c r="B1105" s="313"/>
      <c r="C1105" s="314"/>
      <c r="D1105" s="315"/>
      <c r="E1105" s="313"/>
      <c r="F1105" s="313"/>
      <c r="G1105" s="313"/>
      <c r="H1105" s="316"/>
      <c r="I1105" s="317"/>
      <c r="J1105" s="317"/>
      <c r="K1105" s="318"/>
      <c r="L1105" s="318"/>
      <c r="M1105" s="318"/>
      <c r="N1105" s="318"/>
      <c r="O1105" s="318"/>
      <c r="P1105" s="319"/>
      <c r="Q1105" s="320"/>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si="157"/>
        <v>0</v>
      </c>
      <c r="AB1105" s="228" t="str">
        <f t="shared" si="158"/>
        <v/>
      </c>
    </row>
    <row r="1106" spans="1:28" s="227" customFormat="1" ht="20.25">
      <c r="A1106" s="321"/>
      <c r="B1106" s="313"/>
      <c r="C1106" s="314"/>
      <c r="D1106" s="315"/>
      <c r="E1106" s="313"/>
      <c r="F1106" s="313"/>
      <c r="G1106" s="313"/>
      <c r="H1106" s="316"/>
      <c r="I1106" s="317"/>
      <c r="J1106" s="317"/>
      <c r="K1106" s="318"/>
      <c r="L1106" s="318"/>
      <c r="M1106" s="318"/>
      <c r="N1106" s="318"/>
      <c r="O1106" s="318"/>
      <c r="P1106" s="319"/>
      <c r="Q1106" s="320"/>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si="157"/>
        <v>0</v>
      </c>
      <c r="AB1106" s="228" t="str">
        <f t="shared" si="158"/>
        <v/>
      </c>
    </row>
    <row r="1107" spans="1:28" s="227" customFormat="1" ht="20.25">
      <c r="A1107" s="321"/>
      <c r="B1107" s="313"/>
      <c r="C1107" s="314"/>
      <c r="D1107" s="315"/>
      <c r="E1107" s="313"/>
      <c r="F1107" s="313"/>
      <c r="G1107" s="313"/>
      <c r="H1107" s="316"/>
      <c r="I1107" s="317"/>
      <c r="J1107" s="317"/>
      <c r="K1107" s="318"/>
      <c r="L1107" s="318"/>
      <c r="M1107" s="318"/>
      <c r="N1107" s="318"/>
      <c r="O1107" s="318"/>
      <c r="P1107" s="319"/>
      <c r="Q1107" s="320"/>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si="157"/>
        <v>0</v>
      </c>
      <c r="AB1107" s="228" t="str">
        <f t="shared" si="158"/>
        <v/>
      </c>
    </row>
    <row r="1108" spans="1:28" s="227" customFormat="1" ht="20.25">
      <c r="A1108" s="321"/>
      <c r="B1108" s="313"/>
      <c r="C1108" s="314"/>
      <c r="D1108" s="315"/>
      <c r="E1108" s="313"/>
      <c r="F1108" s="313"/>
      <c r="G1108" s="313"/>
      <c r="H1108" s="316"/>
      <c r="I1108" s="317"/>
      <c r="J1108" s="317"/>
      <c r="K1108" s="318"/>
      <c r="L1108" s="318"/>
      <c r="M1108" s="318"/>
      <c r="N1108" s="318"/>
      <c r="O1108" s="318"/>
      <c r="P1108" s="319"/>
      <c r="Q1108" s="320"/>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si="157"/>
        <v>0</v>
      </c>
      <c r="AB1108" s="228" t="str">
        <f t="shared" si="158"/>
        <v/>
      </c>
    </row>
    <row r="1109" spans="1:28" s="227" customFormat="1" ht="20.25">
      <c r="A1109" s="321"/>
      <c r="B1109" s="313"/>
      <c r="C1109" s="314"/>
      <c r="D1109" s="315"/>
      <c r="E1109" s="313"/>
      <c r="F1109" s="313"/>
      <c r="G1109" s="313"/>
      <c r="H1109" s="316"/>
      <c r="I1109" s="317"/>
      <c r="J1109" s="317"/>
      <c r="K1109" s="318"/>
      <c r="L1109" s="318"/>
      <c r="M1109" s="318"/>
      <c r="N1109" s="318"/>
      <c r="O1109" s="318"/>
      <c r="P1109" s="319"/>
      <c r="Q1109" s="320"/>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si="157"/>
        <v>0</v>
      </c>
      <c r="AB1109" s="228" t="str">
        <f t="shared" si="158"/>
        <v/>
      </c>
    </row>
    <row r="1110" spans="1:28" s="227" customFormat="1" ht="20.25">
      <c r="A1110" s="321"/>
      <c r="B1110" s="313"/>
      <c r="C1110" s="314"/>
      <c r="D1110" s="315"/>
      <c r="E1110" s="313"/>
      <c r="F1110" s="313"/>
      <c r="G1110" s="313"/>
      <c r="H1110" s="316"/>
      <c r="I1110" s="317"/>
      <c r="J1110" s="317"/>
      <c r="K1110" s="318"/>
      <c r="L1110" s="318"/>
      <c r="M1110" s="318"/>
      <c r="N1110" s="318"/>
      <c r="O1110" s="318"/>
      <c r="P1110" s="319"/>
      <c r="Q1110" s="320"/>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si="157"/>
        <v>0</v>
      </c>
      <c r="AB1110" s="228" t="str">
        <f t="shared" si="158"/>
        <v/>
      </c>
    </row>
    <row r="1111" spans="1:28" s="227" customFormat="1" ht="20.25">
      <c r="A1111" s="321"/>
      <c r="B1111" s="313"/>
      <c r="C1111" s="314"/>
      <c r="D1111" s="315"/>
      <c r="E1111" s="313"/>
      <c r="F1111" s="313"/>
      <c r="G1111" s="313"/>
      <c r="H1111" s="316"/>
      <c r="I1111" s="317"/>
      <c r="J1111" s="317"/>
      <c r="K1111" s="318"/>
      <c r="L1111" s="318"/>
      <c r="M1111" s="318"/>
      <c r="N1111" s="318"/>
      <c r="O1111" s="318"/>
      <c r="P1111" s="319"/>
      <c r="Q1111" s="320"/>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si="157"/>
        <v>0</v>
      </c>
      <c r="AB1111" s="228" t="str">
        <f t="shared" si="158"/>
        <v/>
      </c>
    </row>
    <row r="1112" spans="1:28" s="227" customFormat="1" ht="20.25">
      <c r="A1112" s="321"/>
      <c r="B1112" s="313"/>
      <c r="C1112" s="314"/>
      <c r="D1112" s="315"/>
      <c r="E1112" s="313"/>
      <c r="F1112" s="313"/>
      <c r="G1112" s="313"/>
      <c r="H1112" s="316"/>
      <c r="I1112" s="317"/>
      <c r="J1112" s="317"/>
      <c r="K1112" s="318"/>
      <c r="L1112" s="318"/>
      <c r="M1112" s="318"/>
      <c r="N1112" s="318"/>
      <c r="O1112" s="318"/>
      <c r="P1112" s="319"/>
      <c r="Q1112" s="320"/>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si="157"/>
        <v>0</v>
      </c>
      <c r="AB1112" s="228" t="str">
        <f t="shared" si="158"/>
        <v/>
      </c>
    </row>
    <row r="1113" spans="1:28" s="227" customFormat="1" ht="20.25">
      <c r="A1113" s="321"/>
      <c r="B1113" s="313"/>
      <c r="C1113" s="314"/>
      <c r="D1113" s="315"/>
      <c r="E1113" s="313"/>
      <c r="F1113" s="313"/>
      <c r="G1113" s="313"/>
      <c r="H1113" s="316"/>
      <c r="I1113" s="317"/>
      <c r="J1113" s="317"/>
      <c r="K1113" s="318"/>
      <c r="L1113" s="318"/>
      <c r="M1113" s="318"/>
      <c r="N1113" s="318"/>
      <c r="O1113" s="318"/>
      <c r="P1113" s="319"/>
      <c r="Q1113" s="320"/>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si="157"/>
        <v>0</v>
      </c>
      <c r="AB1113" s="228" t="str">
        <f t="shared" si="158"/>
        <v/>
      </c>
    </row>
    <row r="1114" spans="1:28" s="227" customFormat="1" ht="20.25">
      <c r="A1114" s="321"/>
      <c r="B1114" s="313"/>
      <c r="C1114" s="314"/>
      <c r="D1114" s="315"/>
      <c r="E1114" s="313"/>
      <c r="F1114" s="313"/>
      <c r="G1114" s="313"/>
      <c r="H1114" s="316"/>
      <c r="I1114" s="317"/>
      <c r="J1114" s="317"/>
      <c r="K1114" s="318"/>
      <c r="L1114" s="318"/>
      <c r="M1114" s="318"/>
      <c r="N1114" s="318"/>
      <c r="O1114" s="318"/>
      <c r="P1114" s="319"/>
      <c r="Q1114" s="320"/>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si="157"/>
        <v>0</v>
      </c>
      <c r="AB1114" s="228" t="str">
        <f t="shared" si="158"/>
        <v/>
      </c>
    </row>
    <row r="1115" spans="1:28" s="227" customFormat="1" ht="20.25">
      <c r="A1115" s="321"/>
      <c r="B1115" s="313"/>
      <c r="C1115" s="314"/>
      <c r="D1115" s="315"/>
      <c r="E1115" s="313"/>
      <c r="F1115" s="313"/>
      <c r="G1115" s="313"/>
      <c r="H1115" s="316"/>
      <c r="I1115" s="317"/>
      <c r="J1115" s="317"/>
      <c r="K1115" s="318"/>
      <c r="L1115" s="318"/>
      <c r="M1115" s="318"/>
      <c r="N1115" s="318"/>
      <c r="O1115" s="318"/>
      <c r="P1115" s="319"/>
      <c r="Q1115" s="320"/>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si="157"/>
        <v>0</v>
      </c>
      <c r="AB1115" s="228" t="str">
        <f t="shared" si="158"/>
        <v/>
      </c>
    </row>
    <row r="1116" spans="1:28" s="227" customFormat="1" ht="20.25">
      <c r="A1116" s="321"/>
      <c r="B1116" s="313"/>
      <c r="C1116" s="314"/>
      <c r="D1116" s="315"/>
      <c r="E1116" s="313"/>
      <c r="F1116" s="313"/>
      <c r="G1116" s="313"/>
      <c r="H1116" s="316"/>
      <c r="I1116" s="317"/>
      <c r="J1116" s="317"/>
      <c r="K1116" s="318"/>
      <c r="L1116" s="318"/>
      <c r="M1116" s="318"/>
      <c r="N1116" s="318"/>
      <c r="O1116" s="318"/>
      <c r="P1116" s="319"/>
      <c r="Q1116" s="320"/>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si="160">IF(AND(C1116="Smelter not listed",OR(LEN(D1116)=0,LEN(E1116)=0)),1,0)</f>
        <v>0</v>
      </c>
      <c r="AB1116" s="228" t="str">
        <f t="shared" ref="AB1116:AB1146" si="161">B1116&amp;C1116</f>
        <v/>
      </c>
    </row>
    <row r="1117" spans="1:28" s="227" customFormat="1" ht="20.25">
      <c r="A1117" s="321"/>
      <c r="B1117" s="313"/>
      <c r="C1117" s="314"/>
      <c r="D1117" s="315"/>
      <c r="E1117" s="313"/>
      <c r="F1117" s="313"/>
      <c r="G1117" s="313"/>
      <c r="H1117" s="316"/>
      <c r="I1117" s="317"/>
      <c r="J1117" s="317"/>
      <c r="K1117" s="318"/>
      <c r="L1117" s="318"/>
      <c r="M1117" s="318"/>
      <c r="N1117" s="318"/>
      <c r="O1117" s="318"/>
      <c r="P1117" s="319"/>
      <c r="Q1117" s="320"/>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si="160"/>
        <v>0</v>
      </c>
      <c r="AB1117" s="228" t="str">
        <f t="shared" si="161"/>
        <v/>
      </c>
    </row>
    <row r="1118" spans="1:28" s="227" customFormat="1" ht="20.25">
      <c r="A1118" s="321"/>
      <c r="B1118" s="313"/>
      <c r="C1118" s="314"/>
      <c r="D1118" s="315"/>
      <c r="E1118" s="313"/>
      <c r="F1118" s="313"/>
      <c r="G1118" s="313"/>
      <c r="H1118" s="316"/>
      <c r="I1118" s="317"/>
      <c r="J1118" s="317"/>
      <c r="K1118" s="318"/>
      <c r="L1118" s="318"/>
      <c r="M1118" s="318"/>
      <c r="N1118" s="318"/>
      <c r="O1118" s="318"/>
      <c r="P1118" s="319"/>
      <c r="Q1118" s="320"/>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si="160"/>
        <v>0</v>
      </c>
      <c r="AB1118" s="228" t="str">
        <f t="shared" si="161"/>
        <v/>
      </c>
    </row>
    <row r="1119" spans="1:28" s="227" customFormat="1" ht="20.25">
      <c r="A1119" s="321"/>
      <c r="B1119" s="313"/>
      <c r="C1119" s="314"/>
      <c r="D1119" s="315"/>
      <c r="E1119" s="313"/>
      <c r="F1119" s="313"/>
      <c r="G1119" s="313"/>
      <c r="H1119" s="316"/>
      <c r="I1119" s="317"/>
      <c r="J1119" s="317"/>
      <c r="K1119" s="318"/>
      <c r="L1119" s="318"/>
      <c r="M1119" s="318"/>
      <c r="N1119" s="318"/>
      <c r="O1119" s="318"/>
      <c r="P1119" s="319"/>
      <c r="Q1119" s="320"/>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si="160"/>
        <v>0</v>
      </c>
      <c r="AB1119" s="228" t="str">
        <f t="shared" si="161"/>
        <v/>
      </c>
    </row>
    <row r="1120" spans="1:28" s="227" customFormat="1" ht="20.25">
      <c r="A1120" s="321"/>
      <c r="B1120" s="313"/>
      <c r="C1120" s="314"/>
      <c r="D1120" s="315"/>
      <c r="E1120" s="313"/>
      <c r="F1120" s="313"/>
      <c r="G1120" s="313"/>
      <c r="H1120" s="316"/>
      <c r="I1120" s="317"/>
      <c r="J1120" s="317"/>
      <c r="K1120" s="318"/>
      <c r="L1120" s="318"/>
      <c r="M1120" s="318"/>
      <c r="N1120" s="318"/>
      <c r="O1120" s="318"/>
      <c r="P1120" s="319"/>
      <c r="Q1120" s="320"/>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si="160"/>
        <v>0</v>
      </c>
      <c r="AB1120" s="228" t="str">
        <f t="shared" si="161"/>
        <v/>
      </c>
    </row>
    <row r="1121" spans="1:28" s="227" customFormat="1" ht="20.25">
      <c r="A1121" s="321"/>
      <c r="B1121" s="313"/>
      <c r="C1121" s="314"/>
      <c r="D1121" s="315"/>
      <c r="E1121" s="313"/>
      <c r="F1121" s="313"/>
      <c r="G1121" s="313"/>
      <c r="H1121" s="316"/>
      <c r="I1121" s="317"/>
      <c r="J1121" s="317"/>
      <c r="K1121" s="318"/>
      <c r="L1121" s="318"/>
      <c r="M1121" s="318"/>
      <c r="N1121" s="318"/>
      <c r="O1121" s="318"/>
      <c r="P1121" s="319"/>
      <c r="Q1121" s="320"/>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si="160"/>
        <v>0</v>
      </c>
      <c r="AB1121" s="228" t="str">
        <f t="shared" si="161"/>
        <v/>
      </c>
    </row>
    <row r="1122" spans="1:28" s="227" customFormat="1" ht="20.25">
      <c r="A1122" s="321"/>
      <c r="B1122" s="313"/>
      <c r="C1122" s="314"/>
      <c r="D1122" s="315"/>
      <c r="E1122" s="313"/>
      <c r="F1122" s="313"/>
      <c r="G1122" s="313"/>
      <c r="H1122" s="316"/>
      <c r="I1122" s="317"/>
      <c r="J1122" s="317"/>
      <c r="K1122" s="318"/>
      <c r="L1122" s="318"/>
      <c r="M1122" s="318"/>
      <c r="N1122" s="318"/>
      <c r="O1122" s="318"/>
      <c r="P1122" s="319"/>
      <c r="Q1122" s="320"/>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si="160"/>
        <v>0</v>
      </c>
      <c r="AB1122" s="228" t="str">
        <f t="shared" si="161"/>
        <v/>
      </c>
    </row>
    <row r="1123" spans="1:28" s="227" customFormat="1" ht="20.25">
      <c r="A1123" s="321"/>
      <c r="B1123" s="313"/>
      <c r="C1123" s="314"/>
      <c r="D1123" s="315"/>
      <c r="E1123" s="313"/>
      <c r="F1123" s="313"/>
      <c r="G1123" s="313"/>
      <c r="H1123" s="316"/>
      <c r="I1123" s="317"/>
      <c r="J1123" s="317"/>
      <c r="K1123" s="318"/>
      <c r="L1123" s="318"/>
      <c r="M1123" s="318"/>
      <c r="N1123" s="318"/>
      <c r="O1123" s="318"/>
      <c r="P1123" s="319"/>
      <c r="Q1123" s="320"/>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si="160"/>
        <v>0</v>
      </c>
      <c r="AB1123" s="228" t="str">
        <f t="shared" si="161"/>
        <v/>
      </c>
    </row>
    <row r="1124" spans="1:28" s="227" customFormat="1" ht="20.25">
      <c r="A1124" s="321"/>
      <c r="B1124" s="313"/>
      <c r="C1124" s="314"/>
      <c r="D1124" s="315"/>
      <c r="E1124" s="313"/>
      <c r="F1124" s="313"/>
      <c r="G1124" s="313"/>
      <c r="H1124" s="316"/>
      <c r="I1124" s="317"/>
      <c r="J1124" s="317"/>
      <c r="K1124" s="318"/>
      <c r="L1124" s="318"/>
      <c r="M1124" s="318"/>
      <c r="N1124" s="318"/>
      <c r="O1124" s="318"/>
      <c r="P1124" s="319"/>
      <c r="Q1124" s="320"/>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si="160"/>
        <v>0</v>
      </c>
      <c r="AB1124" s="228" t="str">
        <f t="shared" si="161"/>
        <v/>
      </c>
    </row>
    <row r="1125" spans="1:28" s="227" customFormat="1" ht="20.25">
      <c r="A1125" s="321"/>
      <c r="B1125" s="313"/>
      <c r="C1125" s="314"/>
      <c r="D1125" s="315"/>
      <c r="E1125" s="313"/>
      <c r="F1125" s="313"/>
      <c r="G1125" s="313"/>
      <c r="H1125" s="316"/>
      <c r="I1125" s="317"/>
      <c r="J1125" s="317"/>
      <c r="K1125" s="318"/>
      <c r="L1125" s="318"/>
      <c r="M1125" s="318"/>
      <c r="N1125" s="318"/>
      <c r="O1125" s="318"/>
      <c r="P1125" s="319"/>
      <c r="Q1125" s="320"/>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si="160"/>
        <v>0</v>
      </c>
      <c r="AB1125" s="228" t="str">
        <f t="shared" si="161"/>
        <v/>
      </c>
    </row>
    <row r="1126" spans="1:28" s="227" customFormat="1" ht="20.25">
      <c r="A1126" s="321"/>
      <c r="B1126" s="313"/>
      <c r="C1126" s="314"/>
      <c r="D1126" s="315"/>
      <c r="E1126" s="313"/>
      <c r="F1126" s="313"/>
      <c r="G1126" s="313"/>
      <c r="H1126" s="316"/>
      <c r="I1126" s="317"/>
      <c r="J1126" s="317"/>
      <c r="K1126" s="318"/>
      <c r="L1126" s="318"/>
      <c r="M1126" s="318"/>
      <c r="N1126" s="318"/>
      <c r="O1126" s="318"/>
      <c r="P1126" s="319"/>
      <c r="Q1126" s="320"/>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si="160"/>
        <v>0</v>
      </c>
      <c r="AB1126" s="228" t="str">
        <f t="shared" si="161"/>
        <v/>
      </c>
    </row>
    <row r="1127" spans="1:28" s="227" customFormat="1" ht="20.25">
      <c r="A1127" s="321"/>
      <c r="B1127" s="313"/>
      <c r="C1127" s="314"/>
      <c r="D1127" s="315"/>
      <c r="E1127" s="313"/>
      <c r="F1127" s="313"/>
      <c r="G1127" s="313"/>
      <c r="H1127" s="316"/>
      <c r="I1127" s="317"/>
      <c r="J1127" s="317"/>
      <c r="K1127" s="318"/>
      <c r="L1127" s="318"/>
      <c r="M1127" s="318"/>
      <c r="N1127" s="318"/>
      <c r="O1127" s="318"/>
      <c r="P1127" s="319"/>
      <c r="Q1127" s="320"/>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si="160"/>
        <v>0</v>
      </c>
      <c r="AB1127" s="228" t="str">
        <f t="shared" si="161"/>
        <v/>
      </c>
    </row>
    <row r="1128" spans="1:28" s="227" customFormat="1" ht="20.25">
      <c r="A1128" s="321"/>
      <c r="B1128" s="313"/>
      <c r="C1128" s="314"/>
      <c r="D1128" s="315"/>
      <c r="E1128" s="313"/>
      <c r="F1128" s="313"/>
      <c r="G1128" s="313"/>
      <c r="H1128" s="316"/>
      <c r="I1128" s="317"/>
      <c r="J1128" s="317"/>
      <c r="K1128" s="318"/>
      <c r="L1128" s="318"/>
      <c r="M1128" s="318"/>
      <c r="N1128" s="318"/>
      <c r="O1128" s="318"/>
      <c r="P1128" s="319"/>
      <c r="Q1128" s="320"/>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si="160"/>
        <v>0</v>
      </c>
      <c r="AB1128" s="228" t="str">
        <f t="shared" si="161"/>
        <v/>
      </c>
    </row>
    <row r="1129" spans="1:28" s="227" customFormat="1" ht="20.25">
      <c r="A1129" s="321"/>
      <c r="B1129" s="313"/>
      <c r="C1129" s="314"/>
      <c r="D1129" s="315"/>
      <c r="E1129" s="313"/>
      <c r="F1129" s="313"/>
      <c r="G1129" s="313"/>
      <c r="H1129" s="316"/>
      <c r="I1129" s="317"/>
      <c r="J1129" s="317"/>
      <c r="K1129" s="318"/>
      <c r="L1129" s="318"/>
      <c r="M1129" s="318"/>
      <c r="N1129" s="318"/>
      <c r="O1129" s="318"/>
      <c r="P1129" s="319"/>
      <c r="Q1129" s="320"/>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si="160"/>
        <v>0</v>
      </c>
      <c r="AB1129" s="228" t="str">
        <f t="shared" si="161"/>
        <v/>
      </c>
    </row>
    <row r="1130" spans="1:28" s="227" customFormat="1" ht="20.25">
      <c r="A1130" s="321"/>
      <c r="B1130" s="313"/>
      <c r="C1130" s="314"/>
      <c r="D1130" s="315"/>
      <c r="E1130" s="313"/>
      <c r="F1130" s="313"/>
      <c r="G1130" s="313"/>
      <c r="H1130" s="316"/>
      <c r="I1130" s="317"/>
      <c r="J1130" s="317"/>
      <c r="K1130" s="318"/>
      <c r="L1130" s="318"/>
      <c r="M1130" s="318"/>
      <c r="N1130" s="318"/>
      <c r="O1130" s="318"/>
      <c r="P1130" s="319"/>
      <c r="Q1130" s="320"/>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si="160"/>
        <v>0</v>
      </c>
      <c r="AB1130" s="228" t="str">
        <f t="shared" si="161"/>
        <v/>
      </c>
    </row>
    <row r="1131" spans="1:28" s="227" customFormat="1" ht="20.25">
      <c r="A1131" s="321"/>
      <c r="B1131" s="313"/>
      <c r="C1131" s="314"/>
      <c r="D1131" s="315"/>
      <c r="E1131" s="313"/>
      <c r="F1131" s="313"/>
      <c r="G1131" s="313"/>
      <c r="H1131" s="316"/>
      <c r="I1131" s="317"/>
      <c r="J1131" s="317"/>
      <c r="K1131" s="318"/>
      <c r="L1131" s="318"/>
      <c r="M1131" s="318"/>
      <c r="N1131" s="318"/>
      <c r="O1131" s="318"/>
      <c r="P1131" s="319"/>
      <c r="Q1131" s="320"/>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si="160"/>
        <v>0</v>
      </c>
      <c r="AB1131" s="228" t="str">
        <f t="shared" si="161"/>
        <v/>
      </c>
    </row>
    <row r="1132" spans="1:28" s="227" customFormat="1" ht="20.25">
      <c r="A1132" s="321"/>
      <c r="B1132" s="313"/>
      <c r="C1132" s="314"/>
      <c r="D1132" s="315"/>
      <c r="E1132" s="313"/>
      <c r="F1132" s="313"/>
      <c r="G1132" s="313"/>
      <c r="H1132" s="316"/>
      <c r="I1132" s="317"/>
      <c r="J1132" s="317"/>
      <c r="K1132" s="318"/>
      <c r="L1132" s="318"/>
      <c r="M1132" s="318"/>
      <c r="N1132" s="318"/>
      <c r="O1132" s="318"/>
      <c r="P1132" s="319"/>
      <c r="Q1132" s="320"/>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si="160"/>
        <v>0</v>
      </c>
      <c r="AB1132" s="228" t="str">
        <f t="shared" si="161"/>
        <v/>
      </c>
    </row>
    <row r="1133" spans="1:28" s="227" customFormat="1" ht="20.25">
      <c r="A1133" s="321"/>
      <c r="B1133" s="313"/>
      <c r="C1133" s="314"/>
      <c r="D1133" s="315"/>
      <c r="E1133" s="313"/>
      <c r="F1133" s="313"/>
      <c r="G1133" s="313"/>
      <c r="H1133" s="316"/>
      <c r="I1133" s="317"/>
      <c r="J1133" s="317"/>
      <c r="K1133" s="318"/>
      <c r="L1133" s="318"/>
      <c r="M1133" s="318"/>
      <c r="N1133" s="318"/>
      <c r="O1133" s="318"/>
      <c r="P1133" s="319"/>
      <c r="Q1133" s="320"/>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si="160"/>
        <v>0</v>
      </c>
      <c r="AB1133" s="228" t="str">
        <f t="shared" si="161"/>
        <v/>
      </c>
    </row>
    <row r="1134" spans="1:28" s="227" customFormat="1" ht="20.25">
      <c r="A1134" s="321"/>
      <c r="B1134" s="313"/>
      <c r="C1134" s="314"/>
      <c r="D1134" s="315"/>
      <c r="E1134" s="313"/>
      <c r="F1134" s="313"/>
      <c r="G1134" s="313"/>
      <c r="H1134" s="316"/>
      <c r="I1134" s="317"/>
      <c r="J1134" s="317"/>
      <c r="K1134" s="318"/>
      <c r="L1134" s="318"/>
      <c r="M1134" s="318"/>
      <c r="N1134" s="318"/>
      <c r="O1134" s="318"/>
      <c r="P1134" s="319"/>
      <c r="Q1134" s="320"/>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si="160"/>
        <v>0</v>
      </c>
      <c r="AB1134" s="228" t="str">
        <f t="shared" si="161"/>
        <v/>
      </c>
    </row>
    <row r="1135" spans="1:28" s="227" customFormat="1" ht="20.25">
      <c r="A1135" s="321"/>
      <c r="B1135" s="313"/>
      <c r="C1135" s="314"/>
      <c r="D1135" s="315"/>
      <c r="E1135" s="313"/>
      <c r="F1135" s="313"/>
      <c r="G1135" s="313"/>
      <c r="H1135" s="316"/>
      <c r="I1135" s="317"/>
      <c r="J1135" s="317"/>
      <c r="K1135" s="318"/>
      <c r="L1135" s="318"/>
      <c r="M1135" s="318"/>
      <c r="N1135" s="318"/>
      <c r="O1135" s="318"/>
      <c r="P1135" s="319"/>
      <c r="Q1135" s="320"/>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si="160"/>
        <v>0</v>
      </c>
      <c r="AB1135" s="228" t="str">
        <f t="shared" si="161"/>
        <v/>
      </c>
    </row>
    <row r="1136" spans="1:28" s="227" customFormat="1" ht="20.25">
      <c r="A1136" s="321"/>
      <c r="B1136" s="313"/>
      <c r="C1136" s="314"/>
      <c r="D1136" s="315"/>
      <c r="E1136" s="313"/>
      <c r="F1136" s="313"/>
      <c r="G1136" s="313"/>
      <c r="H1136" s="316"/>
      <c r="I1136" s="317"/>
      <c r="J1136" s="317"/>
      <c r="K1136" s="318"/>
      <c r="L1136" s="318"/>
      <c r="M1136" s="318"/>
      <c r="N1136" s="318"/>
      <c r="O1136" s="318"/>
      <c r="P1136" s="319"/>
      <c r="Q1136" s="320"/>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si="160"/>
        <v>0</v>
      </c>
      <c r="AB1136" s="228" t="str">
        <f t="shared" si="161"/>
        <v/>
      </c>
    </row>
    <row r="1137" spans="1:28" s="227" customFormat="1" ht="20.25">
      <c r="A1137" s="321"/>
      <c r="B1137" s="313"/>
      <c r="C1137" s="314"/>
      <c r="D1137" s="315"/>
      <c r="E1137" s="313"/>
      <c r="F1137" s="313"/>
      <c r="G1137" s="313"/>
      <c r="H1137" s="316"/>
      <c r="I1137" s="317"/>
      <c r="J1137" s="317"/>
      <c r="K1137" s="318"/>
      <c r="L1137" s="318"/>
      <c r="M1137" s="318"/>
      <c r="N1137" s="318"/>
      <c r="O1137" s="318"/>
      <c r="P1137" s="319"/>
      <c r="Q1137" s="320"/>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si="160"/>
        <v>0</v>
      </c>
      <c r="AB1137" s="228" t="str">
        <f t="shared" si="161"/>
        <v/>
      </c>
    </row>
    <row r="1138" spans="1:28" s="227" customFormat="1" ht="20.25">
      <c r="A1138" s="321"/>
      <c r="B1138" s="313"/>
      <c r="C1138" s="314"/>
      <c r="D1138" s="315"/>
      <c r="E1138" s="313"/>
      <c r="F1138" s="313"/>
      <c r="G1138" s="313"/>
      <c r="H1138" s="316"/>
      <c r="I1138" s="317"/>
      <c r="J1138" s="317"/>
      <c r="K1138" s="318"/>
      <c r="L1138" s="318"/>
      <c r="M1138" s="318"/>
      <c r="N1138" s="318"/>
      <c r="O1138" s="318"/>
      <c r="P1138" s="319"/>
      <c r="Q1138" s="320"/>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si="160"/>
        <v>0</v>
      </c>
      <c r="AB1138" s="228" t="str">
        <f t="shared" si="161"/>
        <v/>
      </c>
    </row>
    <row r="1139" spans="1:28" s="227" customFormat="1" ht="20.25">
      <c r="A1139" s="321"/>
      <c r="B1139" s="313"/>
      <c r="C1139" s="314"/>
      <c r="D1139" s="315"/>
      <c r="E1139" s="313"/>
      <c r="F1139" s="313"/>
      <c r="G1139" s="313"/>
      <c r="H1139" s="316"/>
      <c r="I1139" s="317"/>
      <c r="J1139" s="317"/>
      <c r="K1139" s="318"/>
      <c r="L1139" s="318"/>
      <c r="M1139" s="318"/>
      <c r="N1139" s="318"/>
      <c r="O1139" s="318"/>
      <c r="P1139" s="319"/>
      <c r="Q1139" s="320"/>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si="160"/>
        <v>0</v>
      </c>
      <c r="AB1139" s="228" t="str">
        <f t="shared" si="161"/>
        <v/>
      </c>
    </row>
    <row r="1140" spans="1:28" s="227" customFormat="1" ht="20.25">
      <c r="A1140" s="321"/>
      <c r="B1140" s="313"/>
      <c r="C1140" s="314"/>
      <c r="D1140" s="315"/>
      <c r="E1140" s="313"/>
      <c r="F1140" s="313"/>
      <c r="G1140" s="313"/>
      <c r="H1140" s="316"/>
      <c r="I1140" s="317"/>
      <c r="J1140" s="317"/>
      <c r="K1140" s="318"/>
      <c r="L1140" s="318"/>
      <c r="M1140" s="318"/>
      <c r="N1140" s="318"/>
      <c r="O1140" s="318"/>
      <c r="P1140" s="319"/>
      <c r="Q1140" s="320"/>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si="160"/>
        <v>0</v>
      </c>
      <c r="AB1140" s="228" t="str">
        <f t="shared" si="161"/>
        <v/>
      </c>
    </row>
    <row r="1141" spans="1:28" s="227" customFormat="1" ht="20.25">
      <c r="A1141" s="321"/>
      <c r="B1141" s="313"/>
      <c r="C1141" s="314"/>
      <c r="D1141" s="315"/>
      <c r="E1141" s="313"/>
      <c r="F1141" s="313"/>
      <c r="G1141" s="313"/>
      <c r="H1141" s="316"/>
      <c r="I1141" s="317"/>
      <c r="J1141" s="317"/>
      <c r="K1141" s="318"/>
      <c r="L1141" s="318"/>
      <c r="M1141" s="318"/>
      <c r="N1141" s="318"/>
      <c r="O1141" s="318"/>
      <c r="P1141" s="319"/>
      <c r="Q1141" s="320"/>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si="160"/>
        <v>0</v>
      </c>
      <c r="AB1141" s="228" t="str">
        <f t="shared" si="161"/>
        <v/>
      </c>
    </row>
    <row r="1142" spans="1:28" s="227" customFormat="1" ht="20.25">
      <c r="A1142" s="321"/>
      <c r="B1142" s="313"/>
      <c r="C1142" s="314"/>
      <c r="D1142" s="315"/>
      <c r="E1142" s="313"/>
      <c r="F1142" s="313"/>
      <c r="G1142" s="313"/>
      <c r="H1142" s="316"/>
      <c r="I1142" s="317"/>
      <c r="J1142" s="317"/>
      <c r="K1142" s="318"/>
      <c r="L1142" s="318"/>
      <c r="M1142" s="318"/>
      <c r="N1142" s="318"/>
      <c r="O1142" s="318"/>
      <c r="P1142" s="319"/>
      <c r="Q1142" s="320"/>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si="160"/>
        <v>0</v>
      </c>
      <c r="AB1142" s="228" t="str">
        <f t="shared" si="161"/>
        <v/>
      </c>
    </row>
    <row r="1143" spans="1:28" s="227" customFormat="1" ht="20.25">
      <c r="A1143" s="321"/>
      <c r="B1143" s="313"/>
      <c r="C1143" s="314"/>
      <c r="D1143" s="315"/>
      <c r="E1143" s="313"/>
      <c r="F1143" s="313"/>
      <c r="G1143" s="313"/>
      <c r="H1143" s="316"/>
      <c r="I1143" s="317"/>
      <c r="J1143" s="317"/>
      <c r="K1143" s="318"/>
      <c r="L1143" s="318"/>
      <c r="M1143" s="318"/>
      <c r="N1143" s="318"/>
      <c r="O1143" s="318"/>
      <c r="P1143" s="319"/>
      <c r="Q1143" s="320"/>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si="160"/>
        <v>0</v>
      </c>
      <c r="AB1143" s="228" t="str">
        <f t="shared" si="161"/>
        <v/>
      </c>
    </row>
    <row r="1144" spans="1:28" s="227" customFormat="1" ht="20.25">
      <c r="A1144" s="321"/>
      <c r="B1144" s="313"/>
      <c r="C1144" s="314"/>
      <c r="D1144" s="315"/>
      <c r="E1144" s="313"/>
      <c r="F1144" s="313"/>
      <c r="G1144" s="313"/>
      <c r="H1144" s="316"/>
      <c r="I1144" s="317"/>
      <c r="J1144" s="317"/>
      <c r="K1144" s="318"/>
      <c r="L1144" s="318"/>
      <c r="M1144" s="318"/>
      <c r="N1144" s="318"/>
      <c r="O1144" s="318"/>
      <c r="P1144" s="319"/>
      <c r="Q1144" s="320"/>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si="160"/>
        <v>0</v>
      </c>
      <c r="AB1144" s="228" t="str">
        <f t="shared" si="161"/>
        <v/>
      </c>
    </row>
    <row r="1145" spans="1:28" s="227" customFormat="1" ht="20.25">
      <c r="A1145" s="321"/>
      <c r="B1145" s="313"/>
      <c r="C1145" s="314"/>
      <c r="D1145" s="315"/>
      <c r="E1145" s="313"/>
      <c r="F1145" s="313"/>
      <c r="G1145" s="313"/>
      <c r="H1145" s="316"/>
      <c r="I1145" s="317"/>
      <c r="J1145" s="317"/>
      <c r="K1145" s="318"/>
      <c r="L1145" s="318"/>
      <c r="M1145" s="318"/>
      <c r="N1145" s="318"/>
      <c r="O1145" s="318"/>
      <c r="P1145" s="319"/>
      <c r="Q1145" s="320"/>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si="160"/>
        <v>0</v>
      </c>
      <c r="AB1145" s="228" t="str">
        <f t="shared" si="161"/>
        <v/>
      </c>
    </row>
    <row r="1146" spans="1:28" s="227" customFormat="1" ht="20.25">
      <c r="A1146" s="321"/>
      <c r="B1146" s="313"/>
      <c r="C1146" s="314"/>
      <c r="D1146" s="315"/>
      <c r="E1146" s="313"/>
      <c r="F1146" s="313"/>
      <c r="G1146" s="313"/>
      <c r="H1146" s="316"/>
      <c r="I1146" s="317"/>
      <c r="J1146" s="317"/>
      <c r="K1146" s="318"/>
      <c r="L1146" s="318"/>
      <c r="M1146" s="318"/>
      <c r="N1146" s="318"/>
      <c r="O1146" s="318"/>
      <c r="P1146" s="319"/>
      <c r="Q1146" s="320"/>
      <c r="R1146" s="182" t="str">
        <f ca="1">IF(ISERROR($V1146),"",OFFSET('Smelter Look-up'!$C$4,$V1146-4,0)&amp;"")</f>
        <v/>
      </c>
      <c r="S1146" s="181" t="str">
        <f t="shared" ca="1" si="15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si="160"/>
        <v>0</v>
      </c>
      <c r="AB1146" s="228" t="str">
        <f t="shared" si="161"/>
        <v/>
      </c>
    </row>
    <row r="1147" spans="1:28" s="227" customFormat="1" ht="20.25">
      <c r="A1147" s="321"/>
      <c r="B1147" s="313"/>
      <c r="C1147" s="314"/>
      <c r="D1147" s="315"/>
      <c r="E1147" s="313"/>
      <c r="F1147" s="313"/>
      <c r="G1147" s="313"/>
      <c r="H1147" s="316"/>
      <c r="I1147" s="317"/>
      <c r="J1147" s="317"/>
      <c r="K1147" s="318"/>
      <c r="L1147" s="318"/>
      <c r="M1147" s="318"/>
      <c r="N1147" s="318"/>
      <c r="O1147" s="318"/>
      <c r="P1147" s="319"/>
      <c r="Q1147" s="320"/>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si="163">IF(AND(C1147="Smelter not listed",OR(LEN(D1147)=0,LEN(E1147)=0)),1,0)</f>
        <v>0</v>
      </c>
      <c r="AB1147" s="228" t="str">
        <f t="shared" ref="AB1147" si="164">B1147&amp;C1147</f>
        <v/>
      </c>
    </row>
    <row r="1148" spans="1:28" s="227" customFormat="1" ht="20.25">
      <c r="A1148" s="321"/>
      <c r="B1148" s="313"/>
      <c r="C1148" s="314"/>
      <c r="D1148" s="315"/>
      <c r="E1148" s="313"/>
      <c r="F1148" s="313"/>
      <c r="G1148" s="313"/>
      <c r="H1148" s="316"/>
      <c r="I1148" s="317"/>
      <c r="J1148" s="317"/>
      <c r="K1148" s="318"/>
      <c r="L1148" s="318"/>
      <c r="M1148" s="318"/>
      <c r="N1148" s="318"/>
      <c r="O1148" s="318"/>
      <c r="P1148" s="319"/>
      <c r="Q1148" s="320"/>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si="166">IF(AND(C1148="Smelter not listed",OR(LEN(D1148)=0,LEN(E1148)=0)),1,0)</f>
        <v>0</v>
      </c>
      <c r="AB1148" s="228" t="str">
        <f t="shared" ref="AB1148:AB1179" si="167">B1148&amp;C1148</f>
        <v/>
      </c>
    </row>
    <row r="1149" spans="1:28" s="227" customFormat="1" ht="20.25">
      <c r="A1149" s="321"/>
      <c r="B1149" s="313"/>
      <c r="C1149" s="314"/>
      <c r="D1149" s="315"/>
      <c r="E1149" s="313"/>
      <c r="F1149" s="313"/>
      <c r="G1149" s="313"/>
      <c r="H1149" s="316"/>
      <c r="I1149" s="317"/>
      <c r="J1149" s="317"/>
      <c r="K1149" s="318"/>
      <c r="L1149" s="318"/>
      <c r="M1149" s="318"/>
      <c r="N1149" s="318"/>
      <c r="O1149" s="318"/>
      <c r="P1149" s="319"/>
      <c r="Q1149" s="320"/>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si="166"/>
        <v>0</v>
      </c>
      <c r="AB1149" s="228" t="str">
        <f t="shared" si="167"/>
        <v/>
      </c>
    </row>
    <row r="1150" spans="1:28" s="227" customFormat="1" ht="20.25">
      <c r="A1150" s="321"/>
      <c r="B1150" s="313"/>
      <c r="C1150" s="314"/>
      <c r="D1150" s="315"/>
      <c r="E1150" s="313"/>
      <c r="F1150" s="313"/>
      <c r="G1150" s="313"/>
      <c r="H1150" s="316"/>
      <c r="I1150" s="317"/>
      <c r="J1150" s="317"/>
      <c r="K1150" s="318"/>
      <c r="L1150" s="318"/>
      <c r="M1150" s="318"/>
      <c r="N1150" s="318"/>
      <c r="O1150" s="318"/>
      <c r="P1150" s="319"/>
      <c r="Q1150" s="320"/>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si="166"/>
        <v>0</v>
      </c>
      <c r="AB1150" s="228" t="str">
        <f t="shared" si="167"/>
        <v/>
      </c>
    </row>
    <row r="1151" spans="1:28" s="227" customFormat="1" ht="20.25">
      <c r="A1151" s="321"/>
      <c r="B1151" s="313"/>
      <c r="C1151" s="314"/>
      <c r="D1151" s="315"/>
      <c r="E1151" s="313"/>
      <c r="F1151" s="313"/>
      <c r="G1151" s="313"/>
      <c r="H1151" s="316"/>
      <c r="I1151" s="317"/>
      <c r="J1151" s="317"/>
      <c r="K1151" s="318"/>
      <c r="L1151" s="318"/>
      <c r="M1151" s="318"/>
      <c r="N1151" s="318"/>
      <c r="O1151" s="318"/>
      <c r="P1151" s="319"/>
      <c r="Q1151" s="320"/>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si="166"/>
        <v>0</v>
      </c>
      <c r="AB1151" s="228" t="str">
        <f t="shared" si="167"/>
        <v/>
      </c>
    </row>
    <row r="1152" spans="1:28" s="227" customFormat="1" ht="20.25">
      <c r="A1152" s="321"/>
      <c r="B1152" s="313"/>
      <c r="C1152" s="314"/>
      <c r="D1152" s="315"/>
      <c r="E1152" s="313"/>
      <c r="F1152" s="313"/>
      <c r="G1152" s="313"/>
      <c r="H1152" s="316"/>
      <c r="I1152" s="317"/>
      <c r="J1152" s="317"/>
      <c r="K1152" s="318"/>
      <c r="L1152" s="318"/>
      <c r="M1152" s="318"/>
      <c r="N1152" s="318"/>
      <c r="O1152" s="318"/>
      <c r="P1152" s="319"/>
      <c r="Q1152" s="320"/>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si="166"/>
        <v>0</v>
      </c>
      <c r="AB1152" s="228" t="str">
        <f t="shared" si="167"/>
        <v/>
      </c>
    </row>
    <row r="1153" spans="1:28" s="227" customFormat="1" ht="20.25">
      <c r="A1153" s="321"/>
      <c r="B1153" s="313"/>
      <c r="C1153" s="314"/>
      <c r="D1153" s="315"/>
      <c r="E1153" s="313"/>
      <c r="F1153" s="313"/>
      <c r="G1153" s="313"/>
      <c r="H1153" s="316"/>
      <c r="I1153" s="317"/>
      <c r="J1153" s="317"/>
      <c r="K1153" s="318"/>
      <c r="L1153" s="318"/>
      <c r="M1153" s="318"/>
      <c r="N1153" s="318"/>
      <c r="O1153" s="318"/>
      <c r="P1153" s="319"/>
      <c r="Q1153" s="320"/>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si="166"/>
        <v>0</v>
      </c>
      <c r="AB1153" s="228" t="str">
        <f t="shared" si="167"/>
        <v/>
      </c>
    </row>
    <row r="1154" spans="1:28" s="227" customFormat="1" ht="20.25">
      <c r="A1154" s="321"/>
      <c r="B1154" s="313"/>
      <c r="C1154" s="314"/>
      <c r="D1154" s="315"/>
      <c r="E1154" s="313"/>
      <c r="F1154" s="313"/>
      <c r="G1154" s="313"/>
      <c r="H1154" s="316"/>
      <c r="I1154" s="317"/>
      <c r="J1154" s="317"/>
      <c r="K1154" s="318"/>
      <c r="L1154" s="318"/>
      <c r="M1154" s="318"/>
      <c r="N1154" s="318"/>
      <c r="O1154" s="318"/>
      <c r="P1154" s="319"/>
      <c r="Q1154" s="320"/>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si="166"/>
        <v>0</v>
      </c>
      <c r="AB1154" s="228" t="str">
        <f t="shared" si="167"/>
        <v/>
      </c>
    </row>
    <row r="1155" spans="1:28" s="227" customFormat="1" ht="20.25">
      <c r="A1155" s="321"/>
      <c r="B1155" s="313"/>
      <c r="C1155" s="314"/>
      <c r="D1155" s="315"/>
      <c r="E1155" s="313"/>
      <c r="F1155" s="313"/>
      <c r="G1155" s="313"/>
      <c r="H1155" s="316"/>
      <c r="I1155" s="317"/>
      <c r="J1155" s="317"/>
      <c r="K1155" s="318"/>
      <c r="L1155" s="318"/>
      <c r="M1155" s="318"/>
      <c r="N1155" s="318"/>
      <c r="O1155" s="318"/>
      <c r="P1155" s="319"/>
      <c r="Q1155" s="320"/>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si="166"/>
        <v>0</v>
      </c>
      <c r="AB1155" s="228" t="str">
        <f t="shared" si="167"/>
        <v/>
      </c>
    </row>
    <row r="1156" spans="1:28" s="227" customFormat="1" ht="20.25">
      <c r="A1156" s="321"/>
      <c r="B1156" s="313"/>
      <c r="C1156" s="314"/>
      <c r="D1156" s="315"/>
      <c r="E1156" s="313"/>
      <c r="F1156" s="313"/>
      <c r="G1156" s="313"/>
      <c r="H1156" s="316"/>
      <c r="I1156" s="317"/>
      <c r="J1156" s="317"/>
      <c r="K1156" s="318"/>
      <c r="L1156" s="318"/>
      <c r="M1156" s="318"/>
      <c r="N1156" s="318"/>
      <c r="O1156" s="318"/>
      <c r="P1156" s="319"/>
      <c r="Q1156" s="320"/>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si="166"/>
        <v>0</v>
      </c>
      <c r="AB1156" s="228" t="str">
        <f t="shared" si="167"/>
        <v/>
      </c>
    </row>
    <row r="1157" spans="1:28" s="227" customFormat="1" ht="20.25">
      <c r="A1157" s="181"/>
      <c r="B1157" s="182"/>
      <c r="C1157" s="186"/>
      <c r="D1157" s="230"/>
      <c r="E1157" s="182"/>
      <c r="F1157" s="182"/>
      <c r="G1157" s="182"/>
      <c r="H1157" s="183"/>
      <c r="I1157" s="184"/>
      <c r="J1157" s="184"/>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si="166"/>
        <v>0</v>
      </c>
      <c r="AB1157" s="228" t="str">
        <f t="shared" si="167"/>
        <v/>
      </c>
    </row>
    <row r="1158" spans="1:28" s="227" customFormat="1" ht="20.25">
      <c r="A1158" s="262"/>
      <c r="B1158" s="182"/>
      <c r="C1158" s="186"/>
      <c r="D1158" s="230"/>
      <c r="E1158" s="182"/>
      <c r="F1158" s="182"/>
      <c r="G1158" s="182"/>
      <c r="H1158" s="183"/>
      <c r="I1158" s="184"/>
      <c r="J1158" s="184"/>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si="166"/>
        <v>0</v>
      </c>
      <c r="AB1158" s="228" t="str">
        <f t="shared" si="167"/>
        <v/>
      </c>
    </row>
    <row r="1159" spans="1:28" s="227" customFormat="1" ht="20.25">
      <c r="A1159" s="262"/>
      <c r="B1159" s="182"/>
      <c r="C1159" s="186"/>
      <c r="D1159" s="230"/>
      <c r="E1159" s="182"/>
      <c r="F1159" s="182"/>
      <c r="G1159" s="182"/>
      <c r="H1159" s="183"/>
      <c r="I1159" s="184"/>
      <c r="J1159" s="184"/>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si="166"/>
        <v>0</v>
      </c>
      <c r="AB1159" s="228" t="str">
        <f t="shared" si="167"/>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kcQkKrNIRgJ/yL5pNW99WfsZzx0e8FPKG55C+0dB2fqASRbhYPUOIIQVi5IlhVovZkQnA0Uuz+4x7MFXDi+2aw==" saltValue="/2zPgEUQBco1LhFOv7wMXg==" spinCount="100000" sheet="1" formatRows="0" deleteRows="0" autoFilter="0"/>
  <autoFilter ref="A4:Q250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28FA3A5-C485-44A2-8C45-B963B2871ED8}"/>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35" activePane="bottomRight" state="frozen"/>
      <selection activeCell="A4" sqref="A4"/>
      <selection pane="topRight" activeCell="A4" sqref="A4"/>
      <selection pane="bottomLeft" activeCell="A4" sqref="A4"/>
      <selection pane="bottomRight" activeCell="B39" sqref="B39"/>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421" t="str">
        <f ca="1">OFFSET(L!$C$1,MATCH("Checker"&amp;ADDRESS(ROW(),COLUMN(),4),L!$A:$A,0)-1,SL,,)</f>
        <v>Um sicherzustellen, dass alle erforderlichen Felder vor dem Versand an ihren Kunden ausgefüllt sind, alle rot markierten Felder beachten.</v>
      </c>
      <c r="B1" s="421"/>
      <c r="C1" s="421"/>
      <c r="D1" s="119" t="str">
        <f ca="1">OFFSET(L!$C$1,MATCH("Checker"&amp;ADDRESS(ROW(),COLUMN(),4),L!$A:$A,0)-1,SL,,)</f>
        <v>Erforderliche Felder bitte vervollständigen.</v>
      </c>
      <c r="E1" s="20" t="s">
        <v>802</v>
      </c>
    </row>
    <row r="2" spans="1:10" ht="15">
      <c r="A2" s="66" t="s">
        <v>894</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Erforderliche Felder</v>
      </c>
      <c r="B3" s="68" t="str">
        <f ca="1">OFFSET(L!$C$1,MATCH("Checker"&amp;ADDRESS(ROW(),COLUMN(),4),L!$A:$A,0)-1,SL,,)</f>
        <v>Antwort ist vorhanden</v>
      </c>
      <c r="C3" s="68" t="str">
        <f ca="1">OFFSET(L!$C$1,MATCH("Checker"&amp;ADDRESS(ROW(),COLUMN(),4),L!$A:$A,0)-1,SL,,)</f>
        <v>Notizen</v>
      </c>
      <c r="D3" s="68" t="str">
        <f ca="1">OFFSET(L!$C$1,MATCH("Checker"&amp;ADDRESS(ROW(),COLUMN(),4),L!$A:$A,0)-1,SL,,)</f>
        <v>Hyperlink zum Ursprung</v>
      </c>
      <c r="F3" s="69" t="s">
        <v>527</v>
      </c>
      <c r="G3" s="19" t="s">
        <v>526</v>
      </c>
      <c r="H3" s="19" t="s">
        <v>528</v>
      </c>
      <c r="I3" s="19" t="s">
        <v>1312</v>
      </c>
      <c r="J3" s="19" t="s">
        <v>1313</v>
      </c>
    </row>
    <row r="4" spans="1:10" ht="39">
      <c r="A4" s="90" t="str">
        <f ca="1">Declaration!B8</f>
        <v>Firmenname (*):</v>
      </c>
      <c r="B4" s="89" t="str">
        <f>Declaration!D8</f>
        <v>Printec-DS Keyboard GmbH</v>
      </c>
      <c r="C4" s="89" t="str">
        <f t="shared" ref="C4" ca="1" si="0">IF(H4=1,J4,I4)</f>
        <v>Vollständig</v>
      </c>
      <c r="D4" s="95" t="str">
        <f>IF(H4=1,"Click here to enter Company Name","")</f>
        <v/>
      </c>
      <c r="E4" s="20" t="s">
        <v>1302</v>
      </c>
      <c r="F4" s="93">
        <v>1</v>
      </c>
      <c r="G4" s="70">
        <f t="shared" ref="G4" si="1">IF(B4=0,1,0)</f>
        <v>0</v>
      </c>
      <c r="H4" s="71">
        <f>F4*G4</f>
        <v>0</v>
      </c>
      <c r="I4" s="147" t="str">
        <f ca="1">OFFSET(L!$C$1,MATCH("Checker"&amp;"Comp",L!$A:$A,0)-1,SL,,)</f>
        <v>Vollständig</v>
      </c>
      <c r="J4" s="148" t="str">
        <f ca="1">OFFSET(L!$C$1,MATCH("Checker"&amp;ADDRESS(ROW(),COLUMN(),4),L!$A:$A,0)-1,SL,,)</f>
        <v>Geben Sie den Namen Ihres Unternehmens in der Reiterzelle D8 der Erklärung an</v>
      </c>
    </row>
    <row r="5" spans="1:10" ht="39">
      <c r="A5" s="90" t="str">
        <f ca="1">Declaration!B9</f>
        <v>Geltungsbereich der Erklärung (*):</v>
      </c>
      <c r="B5" s="89" t="str">
        <f>Declaration!D9</f>
        <v>B. Product (or List of Products)</v>
      </c>
      <c r="C5" s="89" t="str">
        <f ca="1">IF(H5=1,J5,I5)</f>
        <v>Vollständig</v>
      </c>
      <c r="D5" s="95" t="str">
        <f>IF(H5=1,"Click here to enter Declaration Scope","")</f>
        <v/>
      </c>
      <c r="E5" s="20" t="s">
        <v>1302</v>
      </c>
      <c r="F5" s="93">
        <v>1</v>
      </c>
      <c r="G5" s="70">
        <f>IF(B5=0,1,0)</f>
        <v>0</v>
      </c>
      <c r="H5" s="71">
        <f t="shared" ref="H5" si="2">F5*G5</f>
        <v>0</v>
      </c>
      <c r="I5" s="147" t="str">
        <f ca="1">OFFSET(L!$C$1,MATCH("Checker"&amp;"Comp",L!$A:$A,0)-1,SL,,)</f>
        <v>Vollständig</v>
      </c>
      <c r="J5" s="148" t="str">
        <f ca="1">OFFSET(L!$C$1,MATCH("Checker"&amp;ADDRESS(ROW(),COLUMN(),4),L!$A:$A,0)-1,SL,,)</f>
        <v>Wählen Sie den Umfang der Erklärung in der Reiterzelle D9 der Erklärung aus</v>
      </c>
    </row>
    <row r="6" spans="1:10" ht="39">
      <c r="A6" s="90" t="str">
        <f ca="1">Declaration!B10</f>
        <v>Wechseln Sie zum Reiter „Product List“ und geben dort die Produkte ein, für die diese Erklärung gilt.</v>
      </c>
      <c r="B6" s="89">
        <f>Declaration!D10</f>
        <v>0</v>
      </c>
      <c r="C6" s="89" t="str">
        <f ca="1">IF(H6=1,J6,I6)</f>
        <v>Vollständig</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Vollständig</v>
      </c>
      <c r="J6" s="19" t="str">
        <f ca="1">OFFSET(L!$C$1,MATCH("Checker"&amp;ADDRESS(ROW(),COLUMN(),4),L!$A:$A,0)-1,SL,,)</f>
        <v>Geben Sie eine Beschreibung des Umfangs in der Reiterzelle D10 der Erklärung an</v>
      </c>
    </row>
    <row r="7" spans="1:10" ht="39">
      <c r="A7" s="90" t="str">
        <f ca="1">Declaration!B15</f>
        <v>Name des Ansprechpartners (*):</v>
      </c>
      <c r="B7" s="89" t="str">
        <f>Declaration!D15</f>
        <v>Christoph Mueller</v>
      </c>
      <c r="C7" s="89" t="str">
        <f ca="1">IF(H7=1,J7,I7)</f>
        <v>Vollständig</v>
      </c>
      <c r="D7" s="95" t="str">
        <f>IF(H7=1,"Click here to enter Contact Name","")</f>
        <v/>
      </c>
      <c r="E7" s="20" t="s">
        <v>1302</v>
      </c>
      <c r="F7" s="93">
        <v>1</v>
      </c>
      <c r="G7" s="70">
        <f>IF(B7=0,1,0)</f>
        <v>0</v>
      </c>
      <c r="H7" s="71">
        <f t="shared" si="3"/>
        <v>0</v>
      </c>
      <c r="I7" s="147" t="str">
        <f ca="1">OFFSET(L!$C$1,MATCH("Checker"&amp;"Comp",L!$A:$A,0)-1,SL,,)</f>
        <v>Vollständig</v>
      </c>
      <c r="J7" s="19" t="str">
        <f ca="1">OFFSET(L!$C$1,MATCH("Checker"&amp;ADDRESS(ROW(),COLUMN(),4),L!$A:$A,0)-1,SL,,)</f>
        <v>Geben Sie einen Kontaktnamen in der Reiterzelle D15 der Erklärung an</v>
      </c>
    </row>
    <row r="8" spans="1:10" ht="39">
      <c r="A8" s="90" t="str">
        <f ca="1">Declaration!B16</f>
        <v>E-Mail-Adresse des Ansprechpartners (*):</v>
      </c>
      <c r="B8" s="89" t="str">
        <f>Declaration!D16</f>
        <v>christoph.mueller@printecds.com</v>
      </c>
      <c r="C8" s="89" t="str">
        <f ca="1">IF(H8=1,J8,I8)</f>
        <v>Vollständig</v>
      </c>
      <c r="D8" s="95" t="str">
        <f>IF(H8=1,"Click here to enter Email-Contact","")</f>
        <v/>
      </c>
      <c r="E8" s="20" t="s">
        <v>1302</v>
      </c>
      <c r="F8" s="93">
        <v>1</v>
      </c>
      <c r="G8" s="70">
        <f>IF(ISNUMBER(SEARCH("@",B8)),0,1)</f>
        <v>0</v>
      </c>
      <c r="H8" s="71">
        <f t="shared" si="3"/>
        <v>0</v>
      </c>
      <c r="I8" s="147" t="str">
        <f ca="1">OFFSET(L!$C$1,MATCH("Checker"&amp;"Comp",L!$A:$A,0)-1,SL,,)</f>
        <v>Vollständig</v>
      </c>
      <c r="J8" s="19" t="str">
        <f ca="1">OFFSET(L!$C$1,MATCH("Checker"&amp;ADDRESS(ROW(),COLUMN(),4),L!$A:$A,0)-1,SL,,)</f>
        <v>Geben Sie eine gültige Kontakt-E-Mail-Adresse in der Reiterzelle D16 der Erklärung an</v>
      </c>
    </row>
    <row r="9" spans="1:10" ht="39">
      <c r="A9" s="90" t="str">
        <f ca="1">Declaration!B17</f>
        <v>Telefonnummer des Ansprechpartners (*):</v>
      </c>
      <c r="B9" s="273" t="str">
        <f>Declaration!D17</f>
        <v>+4977388024113</v>
      </c>
      <c r="C9" s="89" t="str">
        <f ca="1">IF(H9=1,J9,I9)</f>
        <v>Vollständig</v>
      </c>
      <c r="D9" s="95" t="str">
        <f>IF(H9=1,"Click here to enter Phone-Contact","")</f>
        <v/>
      </c>
      <c r="E9" s="20" t="s">
        <v>1302</v>
      </c>
      <c r="F9" s="93">
        <v>1</v>
      </c>
      <c r="G9" s="70">
        <f>IF(B9=0,1,0)</f>
        <v>0</v>
      </c>
      <c r="H9" s="71">
        <f t="shared" si="3"/>
        <v>0</v>
      </c>
      <c r="I9" s="147" t="str">
        <f ca="1">OFFSET(L!$C$1,MATCH("Checker"&amp;"Comp",L!$A:$A,0)-1,SL,,)</f>
        <v>Vollständig</v>
      </c>
      <c r="J9" s="19" t="str">
        <f ca="1">OFFSET(L!$C$1,MATCH("Checker"&amp;ADDRESS(ROW(),COLUMN(),4),L!$A:$A,0)-1,SL,,)</f>
        <v>Geben Sie eine Kontakttelefonnummer in der Reiterzelle D17 der Erklärung an</v>
      </c>
    </row>
    <row r="10" spans="1:10" ht="39">
      <c r="A10" s="90" t="str">
        <f ca="1">Declaration!B18</f>
        <v>Bevollmächtigter (*):</v>
      </c>
      <c r="B10" s="89" t="str">
        <f>Declaration!D18</f>
        <v>Christoph Mueller</v>
      </c>
      <c r="C10" s="89" t="str">
        <f t="shared" ref="C10" ca="1" si="4">IF(H10=1,J10,I10)</f>
        <v>Vollständig</v>
      </c>
      <c r="D10" s="95" t="str">
        <f>IF(H10=1,"Click here to enter an Authorized Company Representative's name","")</f>
        <v/>
      </c>
      <c r="E10" s="20" t="s">
        <v>1302</v>
      </c>
      <c r="F10" s="93">
        <v>1</v>
      </c>
      <c r="G10" s="70">
        <f t="shared" ref="G10" si="5">IF(B10=0,1,0)</f>
        <v>0</v>
      </c>
      <c r="H10" s="71">
        <f t="shared" si="3"/>
        <v>0</v>
      </c>
      <c r="I10" s="147" t="str">
        <f ca="1">OFFSET(L!$C$1,MATCH("Checker"&amp;"Comp",L!$A:$A,0)-1,SL,,)</f>
        <v>Vollständig</v>
      </c>
      <c r="J10" s="19" t="str">
        <f ca="1">OFFSET(L!$C$1,MATCH("Checker"&amp;ADDRESS(ROW(),COLUMN(),4),L!$A:$A,0)-1,SL,,)</f>
        <v>Geben Sie den Kontaktnamen eines bevollmächtigten Unternehmensvertreters in der Reiterzelle D18 der Erklärung an</v>
      </c>
    </row>
    <row r="11" spans="1:10" ht="39">
      <c r="A11" s="90" t="str">
        <f ca="1">Declaration!B20</f>
        <v>E-Mail-Adresse des Bevollmächtigten (*):</v>
      </c>
      <c r="B11" s="89" t="str">
        <f>Declaration!D20</f>
        <v>christoph.mueller@printecds.com</v>
      </c>
      <c r="C11" s="89" t="str">
        <f ca="1">IF(H11=1,J11,I11)</f>
        <v>Vollständig</v>
      </c>
      <c r="D11" s="95" t="str">
        <f>IF(H11=1,"Click here to enter Representative's email","")</f>
        <v/>
      </c>
      <c r="E11" s="20" t="s">
        <v>1302</v>
      </c>
      <c r="F11" s="93">
        <v>1</v>
      </c>
      <c r="G11" s="70">
        <f>IF(ISNUMBER(SEARCH("@",B11)),0,1)</f>
        <v>0</v>
      </c>
      <c r="H11" s="71">
        <f t="shared" si="3"/>
        <v>0</v>
      </c>
      <c r="I11" s="147" t="str">
        <f ca="1">OFFSET(L!$C$1,MATCH("Checker"&amp;"Comp",L!$A:$A,0)-1,SL,,)</f>
        <v>Vollständig</v>
      </c>
      <c r="J11" s="19" t="str">
        <f ca="1">OFFSET(L!$C$1,MATCH("Checker"&amp;ADDRESS(ROW(),COLUMN(),4),L!$A:$A,0)-1,SL,,)</f>
        <v>Geben Sie eine gültige E-Mail-Adresse eines bevollmächtigten Unternehmensvertreters in der Reiterzelle D20 der Erklärung an</v>
      </c>
    </row>
    <row r="12" spans="1:10" ht="39">
      <c r="A12" s="90" t="str">
        <f ca="1">Declaration!B22</f>
        <v>Datum (*):</v>
      </c>
      <c r="B12" s="91">
        <f>Declaration!D22</f>
        <v>45184</v>
      </c>
      <c r="C12" s="89" t="str">
        <f ca="1">IF(H12=1,J12,I12)</f>
        <v>Vollständig</v>
      </c>
      <c r="D12" s="95" t="str">
        <f>IF(H12=1,"Click here to enter Date of Completion","")</f>
        <v/>
      </c>
      <c r="E12" s="20" t="s">
        <v>1302</v>
      </c>
      <c r="F12" s="93">
        <v>1</v>
      </c>
      <c r="G12" s="70">
        <f>IF(B12=0,1,0)</f>
        <v>0</v>
      </c>
      <c r="H12" s="71">
        <f t="shared" si="3"/>
        <v>0</v>
      </c>
      <c r="I12" s="147" t="str">
        <f ca="1">OFFSET(L!$C$1,MATCH("Checker"&amp;"Comp",L!$A:$A,0)-1,SL,,)</f>
        <v>Vollständig</v>
      </c>
      <c r="J12" s="19" t="str">
        <f ca="1">OFFSET(L!$C$1,MATCH("Checker"&amp;ADDRESS(ROW(),COLUMN(),4),L!$A:$A,0)-1,SL,,)</f>
        <v>Geben Sie das Datum der Vervollständigung des Formulars in der Reiterzelle D22 der Erklärung an</v>
      </c>
    </row>
    <row r="13" spans="1:10" ht="63.75">
      <c r="A13" s="89" t="str">
        <f ca="1">Declaration!B25</f>
        <v>1) Wird absichtlich ein 3TG-Mineral im Herstellungsprozess verwendet oder in das/die Produkt(e) aufgenommen? (*)</v>
      </c>
      <c r="B13" s="92"/>
      <c r="C13" s="92"/>
      <c r="D13" s="96"/>
      <c r="E13" s="20" t="s">
        <v>806</v>
      </c>
      <c r="F13" s="93"/>
      <c r="H13" s="19">
        <f t="shared" si="3"/>
        <v>0</v>
      </c>
    </row>
    <row r="14" spans="1:10" ht="26.25">
      <c r="A14" s="90" t="str">
        <f ca="1">Declaration!B26</f>
        <v>Tantal  (*)</v>
      </c>
      <c r="B14" s="89" t="str">
        <f>Declaration!D26</f>
        <v>Yes</v>
      </c>
      <c r="C14" s="89" t="str">
        <f ca="1">IF(H14=1,J14,I14)</f>
        <v>Vollständig</v>
      </c>
      <c r="D14" s="95" t="str">
        <f>IF(H14=1,"Click here to answer question 1 for Tantalum","")</f>
        <v/>
      </c>
      <c r="E14" s="20" t="s">
        <v>802</v>
      </c>
      <c r="F14" s="93">
        <v>1</v>
      </c>
      <c r="G14" s="70">
        <f>IF(B14=0,1,0)</f>
        <v>0</v>
      </c>
      <c r="H14" s="71">
        <f t="shared" si="3"/>
        <v>0</v>
      </c>
      <c r="I14" s="147" t="str">
        <f ca="1">OFFSET(L!$C$1,MATCH("Checker"&amp;"Comp",L!$A:$A,0)-1,SL,,)</f>
        <v>Vollständig</v>
      </c>
      <c r="J14" s="148" t="str">
        <f ca="1">OFFSET(L!$C$1,MATCH("Checker"&amp;ADDRESS(ROW(),COLUMN(),4),L!$A:$A,0)-1,SL,,)</f>
        <v>Erklären Sie in der Reiterzelle D26 der Erklärung, ob Tantalum Ihren Produkten absichtlich hinzugefügt wird</v>
      </c>
    </row>
    <row r="15" spans="1:10" ht="39">
      <c r="A15" s="90" t="str">
        <f ca="1">Declaration!B27</f>
        <v>Zinn  (*)</v>
      </c>
      <c r="B15" s="89" t="str">
        <f>Declaration!D27</f>
        <v>Yes</v>
      </c>
      <c r="C15" s="89" t="str">
        <f ca="1">IF(H15=1,J15,I15)</f>
        <v>Vollständig</v>
      </c>
      <c r="D15" s="95" t="str">
        <f>IF(H15=1,"Click here to answer question 1 for Tin","")</f>
        <v/>
      </c>
      <c r="E15" s="20" t="s">
        <v>803</v>
      </c>
      <c r="F15" s="93">
        <v>1</v>
      </c>
      <c r="G15" s="70">
        <f>IF(B15=0,1,0)</f>
        <v>0</v>
      </c>
      <c r="H15" s="71">
        <f t="shared" si="3"/>
        <v>0</v>
      </c>
      <c r="I15" s="147" t="str">
        <f ca="1">OFFSET(L!$C$1,MATCH("Checker"&amp;"Comp",L!$A:$A,0)-1,SL,,)</f>
        <v>Vollständig</v>
      </c>
      <c r="J15" s="148" t="str">
        <f ca="1">OFFSET(L!$C$1,MATCH("Checker"&amp;ADDRESS(ROW(),COLUMN(),4),L!$A:$A,0)-1,SL,,)</f>
        <v>Erklären Sie in der Reiterzelle D27 der Erklärung, ob Zinn Ihren Produkten absichtlich hinzugefügt wird</v>
      </c>
    </row>
    <row r="16" spans="1:10" ht="39">
      <c r="A16" s="90" t="str">
        <f ca="1">Declaration!B28</f>
        <v>Gold  (*)</v>
      </c>
      <c r="B16" s="89" t="str">
        <f>Declaration!D28</f>
        <v>Yes</v>
      </c>
      <c r="C16" s="89" t="str">
        <f ca="1">IF(H16=1,J16,I16)</f>
        <v>Vollständig</v>
      </c>
      <c r="D16" s="95" t="str">
        <f>IF(H16=1,"Click here to answer question 1 for Gold","")</f>
        <v/>
      </c>
      <c r="E16" s="20" t="s">
        <v>803</v>
      </c>
      <c r="F16" s="93">
        <v>1</v>
      </c>
      <c r="G16" s="70">
        <f>IF(B16=0,1,0)</f>
        <v>0</v>
      </c>
      <c r="H16" s="71">
        <f t="shared" si="3"/>
        <v>0</v>
      </c>
      <c r="I16" s="147" t="str">
        <f ca="1">OFFSET(L!$C$1,MATCH("Checker"&amp;"Comp",L!$A:$A,0)-1,SL,,)</f>
        <v>Vollständig</v>
      </c>
      <c r="J16" s="148" t="str">
        <f ca="1">OFFSET(L!$C$1,MATCH("Checker"&amp;ADDRESS(ROW(),COLUMN(),4),L!$A:$A,0)-1,SL,,)</f>
        <v>Erklären Sie in der Reiterzelle D28 der Erklärung, ob Gold Ihren Produkten absichtlich hinzugefügt wird</v>
      </c>
    </row>
    <row r="17" spans="1:10" ht="39">
      <c r="A17" s="90" t="str">
        <f ca="1">Declaration!B29</f>
        <v>Wolfram  (*)</v>
      </c>
      <c r="B17" s="89" t="str">
        <f>Declaration!D29</f>
        <v>Yes</v>
      </c>
      <c r="C17" s="89" t="str">
        <f ca="1">IF(H17=1,J17,I17)</f>
        <v>Vollständig</v>
      </c>
      <c r="D17" s="95" t="str">
        <f>IF(H17=1,"Click here to answer question 1 for Tungsten","")</f>
        <v/>
      </c>
      <c r="E17" s="20" t="s">
        <v>803</v>
      </c>
      <c r="F17" s="93">
        <v>1</v>
      </c>
      <c r="G17" s="70">
        <f>IF(B17=0,1,0)</f>
        <v>0</v>
      </c>
      <c r="H17" s="71">
        <f t="shared" si="3"/>
        <v>0</v>
      </c>
      <c r="I17" s="147" t="str">
        <f ca="1">OFFSET(L!$C$1,MATCH("Checker"&amp;"Comp",L!$A:$A,0)-1,SL,,)</f>
        <v>Vollständig</v>
      </c>
      <c r="J17" s="148" t="str">
        <f ca="1">OFFSET(L!$C$1,MATCH("Checker"&amp;ADDRESS(ROW(),COLUMN(),4),L!$A:$A,0)-1,SL,,)</f>
        <v>Erklären Sie in der Reiterzelle D29 der Erklärung, ob Tungsten Ihren Produkten absichtlich hinzugefügt wird</v>
      </c>
    </row>
    <row r="18" spans="1:10" ht="51">
      <c r="A18" s="89" t="str">
        <f ca="1">Declaration!B31</f>
        <v>2) Liegen in dem/den Produkt(en) 3TG-Rückstände vor?  (*)</v>
      </c>
      <c r="B18" s="92"/>
      <c r="C18" s="92"/>
      <c r="D18" s="96"/>
      <c r="E18" s="20" t="s">
        <v>804</v>
      </c>
      <c r="F18" s="93"/>
      <c r="J18" s="148"/>
    </row>
    <row r="19" spans="1:10" ht="39">
      <c r="A19" s="90" t="str">
        <f ca="1">Declaration!B32</f>
        <v>Tantal  (*)</v>
      </c>
      <c r="B19" s="89" t="str">
        <f>IF($B$14="Yes",Declaration!D32,0)</f>
        <v>Yes</v>
      </c>
      <c r="C19" s="89" t="str">
        <f ca="1">IF(H19=1,J19,I19)</f>
        <v>Vollständig</v>
      </c>
      <c r="D19" s="97" t="str">
        <f>IF(H19=1,"Click here to answer question 2 for Tantalum","")</f>
        <v/>
      </c>
      <c r="E19" s="20" t="s">
        <v>803</v>
      </c>
      <c r="F19" s="94">
        <f>IF(B$14="No",0,1)</f>
        <v>1</v>
      </c>
      <c r="G19" s="70">
        <f>IF(B19=0,1,0)</f>
        <v>0</v>
      </c>
      <c r="H19" s="71">
        <f>F19*G19</f>
        <v>0</v>
      </c>
      <c r="I19" s="147" t="str">
        <f ca="1">OFFSET(L!$C$1,MATCH("Checker"&amp;"Comp",L!$A:$A,0)-1,SL,,)</f>
        <v>Vollständig</v>
      </c>
      <c r="J19" s="148" t="str">
        <f ca="1">OFFSET(L!$C$1,MATCH("Checker"&amp;ADDRESS(ROW(),COLUMN(),4),L!$A:$A,0)-1,SL,,)</f>
        <v>Erklären Sie in der Reiterzelle D32 der Erklärung, ob Tantalum für die Herstellung Ihrer Produkte erforderlich ist und ob es in den angegebenen Endprodukten enthalten ist</v>
      </c>
    </row>
    <row r="20" spans="1:10" ht="39">
      <c r="A20" s="90" t="str">
        <f ca="1">Declaration!B33</f>
        <v>Zinn  (*)</v>
      </c>
      <c r="B20" s="89" t="str">
        <f>IF($B$15="Yes",Declaration!D33,0)</f>
        <v>Yes</v>
      </c>
      <c r="C20" s="89" t="str">
        <f ca="1">IF(H20=1,J20,I20)</f>
        <v>Vollständig</v>
      </c>
      <c r="D20" s="97" t="str">
        <f>IF(H20=1,"Click here to answer question 2 for Tin","")</f>
        <v/>
      </c>
      <c r="E20" s="20" t="s">
        <v>803</v>
      </c>
      <c r="F20" s="94">
        <f>IF(B$15="No",0,1)</f>
        <v>1</v>
      </c>
      <c r="G20" s="70">
        <f>IF(B20=0,1,0)</f>
        <v>0</v>
      </c>
      <c r="H20" s="71">
        <f>F20*G20</f>
        <v>0</v>
      </c>
      <c r="I20" s="147" t="str">
        <f ca="1">OFFSET(L!$C$1,MATCH("Checker"&amp;"Comp",L!$A:$A,0)-1,SL,,)</f>
        <v>Vollständig</v>
      </c>
      <c r="J20" s="148" t="str">
        <f ca="1">OFFSET(L!$C$1,MATCH("Checker"&amp;ADDRESS(ROW(),COLUMN(),4),L!$A:$A,0)-1,SL,,)</f>
        <v>Erklären Sie in der Reiterzelle D33 der Erklärung, ob Zinn für die Herstellung Ihrer Produkte erforderlich ist und ob es in den angegebenen Endprodukten enthalten ist</v>
      </c>
    </row>
    <row r="21" spans="1:10" ht="39">
      <c r="A21" s="90" t="str">
        <f ca="1">Declaration!B34</f>
        <v>Gold  (*)</v>
      </c>
      <c r="B21" s="89" t="str">
        <f>IF($B$16="Yes",Declaration!D34,0)</f>
        <v>Yes</v>
      </c>
      <c r="C21" s="89" t="str">
        <f ca="1">IF(H21=1,J21,I21)</f>
        <v>Vollständig</v>
      </c>
      <c r="D21" s="97" t="str">
        <f>IF(H21=1,"Click here to answer question 2 for Gold","")</f>
        <v/>
      </c>
      <c r="E21" s="20" t="s">
        <v>803</v>
      </c>
      <c r="F21" s="94">
        <f>IF(B$16="No",0,1)</f>
        <v>1</v>
      </c>
      <c r="G21" s="70">
        <f>IF(B21=0,1,0)</f>
        <v>0</v>
      </c>
      <c r="H21" s="71">
        <f>F21*G21</f>
        <v>0</v>
      </c>
      <c r="I21" s="147" t="str">
        <f ca="1">OFFSET(L!$C$1,MATCH("Checker"&amp;"Comp",L!$A:$A,0)-1,SL,,)</f>
        <v>Vollständig</v>
      </c>
      <c r="J21" s="148" t="str">
        <f ca="1">OFFSET(L!$C$1,MATCH("Checker"&amp;ADDRESS(ROW(),COLUMN(),4),L!$A:$A,0)-1,SL,,)</f>
        <v>Erklären Sie in der Reiterzelle D34 der Erklärung, ob Gold für die Herstellung Ihrer Produkte erforderlich ist und ob es in den angegebenen Endprodukten enthalten ist</v>
      </c>
    </row>
    <row r="22" spans="1:10" ht="39">
      <c r="A22" s="90" t="str">
        <f ca="1">Declaration!B35</f>
        <v>Wolfram  (*)</v>
      </c>
      <c r="B22" s="89" t="str">
        <f>IF($B$17="Yes",Declaration!D35,0)</f>
        <v>Yes</v>
      </c>
      <c r="C22" s="89" t="str">
        <f ca="1">IF(H22=1,J22,I22)</f>
        <v>Vollständig</v>
      </c>
      <c r="D22" s="97" t="str">
        <f>IF(H22=1,"Click here to answer question 2 for Tungsten","")</f>
        <v/>
      </c>
      <c r="E22" s="20" t="s">
        <v>803</v>
      </c>
      <c r="F22" s="94">
        <f>IF(B$17="No",0,1)</f>
        <v>1</v>
      </c>
      <c r="G22" s="70">
        <f>IF(B22=0,1,0)</f>
        <v>0</v>
      </c>
      <c r="H22" s="71">
        <f>F22*G22</f>
        <v>0</v>
      </c>
      <c r="I22" s="147" t="str">
        <f ca="1">OFFSET(L!$C$1,MATCH("Checker"&amp;"Comp",L!$A:$A,0)-1,SL,,)</f>
        <v>Vollständig</v>
      </c>
      <c r="J22" s="148" t="str">
        <f ca="1">OFFSET(L!$C$1,MATCH("Checker"&amp;ADDRESS(ROW(),COLUMN(),4),L!$A:$A,0)-1,SL,,)</f>
        <v>Erklären Sie in der Reiterzelle D35 der Erklärung, ob Tungsten für die Herstellung Ihrer Produkte erforderlich ist und ob es in den angegebenen Endprodukten enthalten ist</v>
      </c>
    </row>
    <row r="23" spans="1:10" ht="57.75" customHeight="1">
      <c r="A23" s="89" t="str">
        <f ca="1">Declaration!B37</f>
        <v>3) Beschaffen Schmelzhütten in Ihrer Lieferkette das 3TG-Mineral aus den umfassten Ländern? (SEC-Begriff, siehe Definitions-Tab) (*)</v>
      </c>
      <c r="B23" s="92"/>
      <c r="C23" s="92"/>
      <c r="D23" s="96"/>
      <c r="E23" s="20" t="s">
        <v>803</v>
      </c>
      <c r="F23" s="93"/>
      <c r="J23" s="148"/>
    </row>
    <row r="24" spans="1:10" ht="39">
      <c r="A24" s="90" t="str">
        <f ca="1">Declaration!B38</f>
        <v>Tantal  (*)</v>
      </c>
      <c r="B24" s="89" t="str">
        <f>IF(AND($B$14="Yes",$B$19="Yes"),Declaration!D38,0)</f>
        <v>No</v>
      </c>
      <c r="C24" s="89" t="str">
        <f ca="1">IF(H24=1,J24,I24)</f>
        <v>Vollständig</v>
      </c>
      <c r="D24" s="97" t="str">
        <f>IF(H24=1,"Click here to answer question 3 for Tantalum","")</f>
        <v/>
      </c>
      <c r="E24" s="20" t="s">
        <v>803</v>
      </c>
      <c r="F24" s="94">
        <f>IF(OR(B14="No",B19="No"),0,1)</f>
        <v>1</v>
      </c>
      <c r="G24" s="70">
        <f t="shared" ref="G24" si="6">IF(B24=0,1,0)</f>
        <v>0</v>
      </c>
      <c r="H24" s="71">
        <f t="shared" ref="H24" si="7">F24*G24</f>
        <v>0</v>
      </c>
      <c r="I24" s="147" t="str">
        <f ca="1">OFFSET(L!$C$1,MATCH("Checker"&amp;"Comp",L!$A:$A,0)-1,SL,,)</f>
        <v>Vollständig</v>
      </c>
      <c r="J24" s="19" t="str">
        <f ca="1">OFFSET(L!$C$1,MATCH("Checker"&amp;ADDRESS(ROW(),COLUMN(),4),L!$A:$A,0)-1,SL,,)</f>
        <v>Erklären Sie in der Reiterzelle D38 der Erklärung, ob innerhalb des Umfangs der in dieser Umfrage angegebenen Produkte verwendetes Tantalum aus der Demokratischen Republik Kongo oder einem benachbarten Land stammt</v>
      </c>
    </row>
    <row r="25" spans="1:10" ht="39">
      <c r="A25" s="90" t="str">
        <f ca="1">Declaration!B39</f>
        <v>Zinn  (*)</v>
      </c>
      <c r="B25" s="89" t="str">
        <f>IF(AND($B$15="Yes",$B$20="Yes"),Declaration!D39,0)</f>
        <v>No</v>
      </c>
      <c r="C25" s="89" t="str">
        <f ca="1">IF(H25=1,J25,I25)</f>
        <v>Vollständig</v>
      </c>
      <c r="D25" s="97" t="str">
        <f>IF(H25=1,"Click here to answer question 3 for Tin","")</f>
        <v/>
      </c>
      <c r="E25" s="20" t="s">
        <v>803</v>
      </c>
      <c r="F25" s="94">
        <f>IF(OR(B15="No",B20="No"),0,1)</f>
        <v>1</v>
      </c>
      <c r="G25" s="70">
        <f>IF(B25=0,1,0)</f>
        <v>0</v>
      </c>
      <c r="H25" s="71">
        <f>F25*G25</f>
        <v>0</v>
      </c>
      <c r="I25" s="147" t="str">
        <f ca="1">OFFSET(L!$C$1,MATCH("Checker"&amp;"Comp",L!$A:$A,0)-1,SL,,)</f>
        <v>Vollständig</v>
      </c>
      <c r="J25" s="19" t="str">
        <f ca="1">OFFSET(L!$C$1,MATCH("Checker"&amp;ADDRESS(ROW(),COLUMN(),4),L!$A:$A,0)-1,SL,,)</f>
        <v>Erklären Sie in der Reiterzelle D39 der Erklärung, ob innerhalb des Umfangs der in dieser Umfrage angegebenen Produkte verwendetes Zinn aus der Demokratischen Republik Kongo oder einem benachbarten Land stammt</v>
      </c>
    </row>
    <row r="26" spans="1:10" ht="39">
      <c r="A26" s="90" t="str">
        <f ca="1">Declaration!B40</f>
        <v>Gold  (*)</v>
      </c>
      <c r="B26" s="89" t="str">
        <f>IF(AND($B$16="Yes",$B$21="Yes"),Declaration!D40,0)</f>
        <v>No</v>
      </c>
      <c r="C26" s="89" t="str">
        <f ca="1">IF(H26=1,J26,I26)</f>
        <v>Vollständig</v>
      </c>
      <c r="D26" s="97" t="str">
        <f>IF(H26=1,"Click here to answer question 3 for Gold","")</f>
        <v/>
      </c>
      <c r="E26" s="20" t="s">
        <v>803</v>
      </c>
      <c r="F26" s="94">
        <f>IF(OR(B16="No",B21="No"),0,1)</f>
        <v>1</v>
      </c>
      <c r="G26" s="70">
        <f>IF(B26=0,1,0)</f>
        <v>0</v>
      </c>
      <c r="H26" s="71">
        <f>F26*G26</f>
        <v>0</v>
      </c>
      <c r="I26" s="147" t="str">
        <f ca="1">OFFSET(L!$C$1,MATCH("Checker"&amp;"Comp",L!$A:$A,0)-1,SL,,)</f>
        <v>Vollständig</v>
      </c>
      <c r="J26" s="19" t="str">
        <f ca="1">OFFSET(L!$C$1,MATCH("Checker"&amp;ADDRESS(ROW(),COLUMN(),4),L!$A:$A,0)-1,SL,,)</f>
        <v>Erklären Sie in der Reiterzelle D40 der Erklärung, ob innerhalb des Umfangs der in dieser Umfrage angegebenen Produkte verwendetes Gold aus der Demokratischen Republik Kongo oder einem benachbarten Land stammt</v>
      </c>
    </row>
    <row r="27" spans="1:10" ht="39">
      <c r="A27" s="90" t="str">
        <f ca="1">Declaration!B41</f>
        <v>Wolfram  (*)</v>
      </c>
      <c r="B27" s="89" t="str">
        <f>IF(AND($B$17="Yes",$B$22="Yes"),Declaration!D41,0)</f>
        <v>No</v>
      </c>
      <c r="C27" s="89" t="str">
        <f ca="1">IF(H27=1,J27,I27)</f>
        <v>Vollständig</v>
      </c>
      <c r="D27" s="97" t="str">
        <f>IF(H27=1,"Click here to answer question 3 for Tungsten","")</f>
        <v/>
      </c>
      <c r="E27" s="20" t="s">
        <v>803</v>
      </c>
      <c r="F27" s="94">
        <f>IF(OR(B17="No",B22="No"),0,1)</f>
        <v>1</v>
      </c>
      <c r="G27" s="70">
        <f>IF(B27=0,1,0)</f>
        <v>0</v>
      </c>
      <c r="H27" s="71">
        <f>F27*G27</f>
        <v>0</v>
      </c>
      <c r="I27" s="147" t="str">
        <f ca="1">OFFSET(L!$C$1,MATCH("Checker"&amp;"Comp",L!$A:$A,0)-1,SL,,)</f>
        <v>Vollständig</v>
      </c>
      <c r="J27" s="19" t="str">
        <f ca="1">OFFSET(L!$C$1,MATCH("Checker"&amp;ADDRESS(ROW(),COLUMN(),4),L!$A:$A,0)-1,SL,,)</f>
        <v>Erklären Sie in der Reiterzelle D41 der Erklärung, ob innerhalb des Umfangs der in dieser Umfrage angegebenen Produkte verwendetes Tungsten aus der Demokratischen Republik Kongo oder einem benachbarten Land stammt</v>
      </c>
    </row>
    <row r="28" spans="1:10" ht="39.6" customHeight="1">
      <c r="A28" s="89" t="str">
        <f ca="1">Declaration!B43</f>
        <v>4) Beziehen Schmelzhütten in Ihrer Lieferkette ihre 3TG aus von Konflikten betroffenen und risikoreichen Gebieten? (*)</v>
      </c>
      <c r="B28" s="89"/>
      <c r="C28" s="89"/>
      <c r="D28" s="97"/>
      <c r="E28" s="20"/>
      <c r="F28" s="20"/>
      <c r="G28" s="20"/>
      <c r="I28" s="147"/>
    </row>
    <row r="29" spans="1:10" ht="41.1" customHeight="1">
      <c r="A29" s="90" t="str">
        <f ca="1">Declaration!B44</f>
        <v>Tantal  (*)</v>
      </c>
      <c r="B29" s="89" t="str">
        <f>IF(AND($B$14="Yes",$B$19="Yes"),Declaration!D44,0)</f>
        <v>No</v>
      </c>
      <c r="C29" s="89" t="str">
        <f ca="1">IF(H29=1,J29,I29)</f>
        <v>Vollständig</v>
      </c>
      <c r="D29" s="260" t="str">
        <f>IF(H29=1,"Click here to answer question 4 for Tantalum","")</f>
        <v/>
      </c>
      <c r="E29" s="20"/>
      <c r="F29" s="94">
        <f>F24</f>
        <v>1</v>
      </c>
      <c r="G29" s="70">
        <f t="shared" ref="G29" si="8">IF(B29=0,1,0)</f>
        <v>0</v>
      </c>
      <c r="H29" s="71">
        <f t="shared" ref="H29" si="9">F29*G29</f>
        <v>0</v>
      </c>
      <c r="I29" s="147" t="str">
        <f ca="1">OFFSET(L!$C$1,MATCH("Checker"&amp;"Comp",L!$A:$A,0)-1,SL,,)</f>
        <v>Vollständig</v>
      </c>
      <c r="J29" s="19" t="str">
        <f ca="1">OFFSET(L!$C$1,MATCH("Checker"&amp;ADDRESS(ROW(),COLUMN(),4),L!$A:$A,0)-1,SL,,)</f>
        <v>Geben Sie in Zelle D44 der Erklärung, ob innerhalb des Umfangs der in dieser Umfrage angegebenen Produkte verwendetes Tantal aus einem konfliktbetroffenen und risikoreichen Gebiet stammt</v>
      </c>
    </row>
    <row r="30" spans="1:10" ht="41.1" customHeight="1">
      <c r="A30" s="90" t="str">
        <f ca="1">Declaration!B45</f>
        <v>Zinn  (*)</v>
      </c>
      <c r="B30" s="89" t="str">
        <f>IF(AND($B$15="Yes",$B$20="Yes"),Declaration!D45,0)</f>
        <v>No</v>
      </c>
      <c r="C30" s="89" t="str">
        <f ca="1">IF(H30=1,J30,I30)</f>
        <v>Vollständig</v>
      </c>
      <c r="D30" s="260" t="str">
        <f>IF(H30=1,"Click here to answer question 4 for Tin","")</f>
        <v/>
      </c>
      <c r="E30" s="20"/>
      <c r="F30" s="94">
        <f>F25</f>
        <v>1</v>
      </c>
      <c r="G30" s="70">
        <f>IF(B30=0,1,0)</f>
        <v>0</v>
      </c>
      <c r="H30" s="71">
        <f>F30*G30</f>
        <v>0</v>
      </c>
      <c r="I30" s="147" t="str">
        <f ca="1">OFFSET(L!$C$1,MATCH("Checker"&amp;"Comp",L!$A:$A,0)-1,SL,,)</f>
        <v>Vollständig</v>
      </c>
      <c r="J30" s="19" t="str">
        <f ca="1">OFFSET(L!$C$1,MATCH("Checker"&amp;ADDRESS(ROW(),COLUMN(),4),L!$A:$A,0)-1,SL,,)</f>
        <v>Geben Sie in Zelle D45 der Erklärung an, ob innerhalb des Umfangs der in dieser Umfrage angegebenen Produkte verwendetes Zinn aus einem konfliktbetroffenen und risikoreichen Gebiet stammt</v>
      </c>
    </row>
    <row r="31" spans="1:10" ht="41.1" customHeight="1">
      <c r="A31" s="90" t="str">
        <f ca="1">Declaration!B46</f>
        <v>Gold  (*)</v>
      </c>
      <c r="B31" s="89" t="str">
        <f>IF(AND($B$16="Yes",$B$21="Yes"),Declaration!D46,0)</f>
        <v>No</v>
      </c>
      <c r="C31" s="89" t="str">
        <f ca="1">IF(H31=1,J31,I31)</f>
        <v>Vollständig</v>
      </c>
      <c r="D31" s="260" t="str">
        <f>IF(H31=1,"Click here to answer question 4 for Gold","")</f>
        <v/>
      </c>
      <c r="E31" s="20"/>
      <c r="F31" s="94">
        <f>F26</f>
        <v>1</v>
      </c>
      <c r="G31" s="70">
        <f>IF(B31=0,1,0)</f>
        <v>0</v>
      </c>
      <c r="H31" s="71">
        <f>F31*G31</f>
        <v>0</v>
      </c>
      <c r="I31" s="147" t="str">
        <f ca="1">OFFSET(L!$C$1,MATCH("Checker"&amp;"Comp",L!$A:$A,0)-1,SL,,)</f>
        <v>Vollständig</v>
      </c>
      <c r="J31" s="19" t="str">
        <f ca="1">OFFSET(L!$C$1,MATCH("Checker"&amp;ADDRESS(ROW(),COLUMN(),4),L!$A:$A,0)-1,SL,,)</f>
        <v>Geben Sie in Zelle D46 der Erklärung an, ob innerhalb des Umfangs der in dieser Umfrage angegebenen Produkte verwendetes Gold aus einem konfliktbetroffenen und risikoreichen Gebiet stammt</v>
      </c>
    </row>
    <row r="32" spans="1:10" ht="41.1" customHeight="1">
      <c r="A32" s="90" t="str">
        <f ca="1">Declaration!B47</f>
        <v>Wolfram  (*)</v>
      </c>
      <c r="B32" s="89" t="str">
        <f>IF(AND($B$17="Yes",$B$22="Yes"),Declaration!D47,0)</f>
        <v>No</v>
      </c>
      <c r="C32" s="89" t="str">
        <f ca="1">IF(H32=1,J32,I32)</f>
        <v>Vollständig</v>
      </c>
      <c r="D32" s="260" t="str">
        <f>IF(H32=1,"Click here to answer question 4 for Tungsten","")</f>
        <v/>
      </c>
      <c r="E32" s="20"/>
      <c r="F32" s="94">
        <f>F27</f>
        <v>1</v>
      </c>
      <c r="G32" s="70">
        <f>IF(B32=0,1,0)</f>
        <v>0</v>
      </c>
      <c r="H32" s="71">
        <f>F32*G32</f>
        <v>0</v>
      </c>
      <c r="I32" s="147" t="str">
        <f ca="1">OFFSET(L!$C$1,MATCH("Checker"&amp;"Comp",L!$A:$A,0)-1,SL,,)</f>
        <v>Vollständig</v>
      </c>
      <c r="J32" s="19" t="str">
        <f ca="1">OFFSET(L!$C$1,MATCH("Checker"&amp;ADDRESS(ROW(),COLUMN(),4),L!$A:$A,0)-1,SL,,)</f>
        <v>Geben Sie in Zelle D47 der Erklärung an, ob innerhalb des Umfangs der in dieser Umfrage angegebenen Produkte verwendetes Wolfram aus einem konfliktbetroffenen und risikoreichen Gebiet stammt</v>
      </c>
    </row>
    <row r="33" spans="1:10" ht="38.25">
      <c r="A33" s="89" t="str">
        <f ca="1">Declaration!B49</f>
        <v>5) Stammt das für die Funktionalität oder  Herstellung Ihrer Produkte benötigte 3TG-Mineral zu 100 % aus Recycling- oder Schrottquellen?  (*)</v>
      </c>
      <c r="B33" s="92"/>
      <c r="C33" s="92"/>
      <c r="D33" s="96"/>
      <c r="E33" s="20" t="s">
        <v>1302</v>
      </c>
      <c r="F33" s="93"/>
      <c r="J33" s="148"/>
    </row>
    <row r="34" spans="1:10" ht="39">
      <c r="A34" s="90" t="str">
        <f ca="1">Declaration!B50</f>
        <v>Tantal  (*)</v>
      </c>
      <c r="B34" s="89" t="str">
        <f>IF(AND($B$14="Yes",$B$19="Yes"),Declaration!D50,0)</f>
        <v>No</v>
      </c>
      <c r="C34" s="89" t="str">
        <f ca="1">IF(H34=1,J34,I34)</f>
        <v>Vollständig</v>
      </c>
      <c r="D34" s="260" t="str">
        <f>IF(H34=1,"Click here to answer question 5 for Tantalum","")</f>
        <v/>
      </c>
      <c r="E34" s="20" t="s">
        <v>1302</v>
      </c>
      <c r="F34" s="94">
        <f>F24</f>
        <v>1</v>
      </c>
      <c r="G34" s="70">
        <f>IF(B34=0,1,0)</f>
        <v>0</v>
      </c>
      <c r="H34" s="71">
        <f>F34*G34</f>
        <v>0</v>
      </c>
      <c r="I34" s="147" t="str">
        <f ca="1">OFFSET(L!$C$1,MATCH("Checker"&amp;"Comp",L!$A:$A,0)-1,SL,,)</f>
        <v>Vollständig</v>
      </c>
      <c r="J34" s="148" t="str">
        <f ca="1">OFFSET(L!$C$1,MATCH("Checker"&amp;ADDRESS(ROW(),COLUMN(),4),L!$A:$A,0)-1,SL,,)</f>
        <v>Erklären Sie in der Reiterzelle D44 der Erklärung, ob innerhalb des Umfangs der in dieser Umfrage angegebenen Produkte verwendetes Tantalum vollständig aus Recycling oder Schrott stammt</v>
      </c>
    </row>
    <row r="35" spans="1:10" ht="39">
      <c r="A35" s="90" t="str">
        <f ca="1">Declaration!B51</f>
        <v>Zinn  (*)</v>
      </c>
      <c r="B35" s="89" t="str">
        <f>IF(AND($B$15="Yes",$B$20="Yes"),Declaration!D51,0)</f>
        <v>No</v>
      </c>
      <c r="C35" s="89" t="str">
        <f ca="1">IF(H35=1,J35,I35)</f>
        <v>Vollständig</v>
      </c>
      <c r="D35" s="260" t="str">
        <f>IF(H35=1,"Click here to answer question 5 for Tin","")</f>
        <v/>
      </c>
      <c r="E35" s="20" t="s">
        <v>1302</v>
      </c>
      <c r="F35" s="94">
        <f>F25</f>
        <v>1</v>
      </c>
      <c r="G35" s="70">
        <f>IF(B35=0,1,0)</f>
        <v>0</v>
      </c>
      <c r="H35" s="71">
        <f>F35*G35</f>
        <v>0</v>
      </c>
      <c r="I35" s="147" t="str">
        <f ca="1">OFFSET(L!$C$1,MATCH("Checker"&amp;"Comp",L!$A:$A,0)-1,SL,,)</f>
        <v>Vollständig</v>
      </c>
      <c r="J35" s="148" t="str">
        <f ca="1">OFFSET(L!$C$1,MATCH("Checker"&amp;ADDRESS(ROW(),COLUMN(),4),L!$A:$A,0)-1,SL,,)</f>
        <v>Erklären Sie in der Reiterzelle D45 der Erklärung, ob innerhalb des Umfangs der in dieser Umfrage angegebenen Produkte verwendetes Zinn vollständig aus Recycling oder Schrott stammt</v>
      </c>
    </row>
    <row r="36" spans="1:10" ht="39">
      <c r="A36" s="90" t="str">
        <f ca="1">Declaration!B52</f>
        <v>Gold  (*)</v>
      </c>
      <c r="B36" s="89" t="str">
        <f>IF(AND($B$16="Yes",$B$21="Yes"),Declaration!D52,0)</f>
        <v>No</v>
      </c>
      <c r="C36" s="89" t="str">
        <f ca="1">IF(H36=1,J36,I36)</f>
        <v>Vollständig</v>
      </c>
      <c r="D36" s="260" t="str">
        <f>IF(H36=1,"Click here to answer question 5 for Gold","")</f>
        <v/>
      </c>
      <c r="E36" s="20" t="s">
        <v>1302</v>
      </c>
      <c r="F36" s="94">
        <f>F26</f>
        <v>1</v>
      </c>
      <c r="G36" s="70">
        <f>IF(B36=0,1,0)</f>
        <v>0</v>
      </c>
      <c r="H36" s="71">
        <f>F36*G36</f>
        <v>0</v>
      </c>
      <c r="I36" s="147" t="str">
        <f ca="1">OFFSET(L!$C$1,MATCH("Checker"&amp;"Comp",L!$A:$A,0)-1,SL,,)</f>
        <v>Vollständig</v>
      </c>
      <c r="J36" s="148" t="str">
        <f ca="1">OFFSET(L!$C$1,MATCH("Checker"&amp;ADDRESS(ROW(),COLUMN(),4),L!$A:$A,0)-1,SL,,)</f>
        <v>Erklären Sie in der Reiterzelle D46 der Erklärung, ob innerhalb des Umfangs der in dieser Umfrage angegebenen Produkte verwendetes Gold vollständig aus Recycling oder Schrott stammt</v>
      </c>
    </row>
    <row r="37" spans="1:10" ht="39">
      <c r="A37" s="90" t="str">
        <f ca="1">Declaration!B53</f>
        <v>Wolfram  (*)</v>
      </c>
      <c r="B37" s="89" t="str">
        <f>IF(AND($B$17="Yes",$B$22="Yes"),Declaration!D53,0)</f>
        <v>No</v>
      </c>
      <c r="C37" s="89" t="str">
        <f ca="1">IF(H37=1,J37,I37)</f>
        <v>Vollständig</v>
      </c>
      <c r="D37" s="260" t="str">
        <f>IF(H37=1,"Click here to answer question 5 for Tungsten","")</f>
        <v/>
      </c>
      <c r="E37" s="20" t="s">
        <v>1302</v>
      </c>
      <c r="F37" s="94">
        <f>F27</f>
        <v>1</v>
      </c>
      <c r="G37" s="70">
        <f>IF(B37=0,1,0)</f>
        <v>0</v>
      </c>
      <c r="H37" s="71">
        <f>F37*G37</f>
        <v>0</v>
      </c>
      <c r="I37" s="147" t="str">
        <f ca="1">OFFSET(L!$C$1,MATCH("Checker"&amp;"Comp",L!$A:$A,0)-1,SL,,)</f>
        <v>Vollständig</v>
      </c>
      <c r="J37" s="148" t="str">
        <f ca="1">OFFSET(L!$C$1,MATCH("Checker"&amp;ADDRESS(ROW(),COLUMN(),4),L!$A:$A,0)-1,SL,,)</f>
        <v>Erklären Sie in der Reiterzelle D47 der Erklärung, ob innerhalb des Umfangs der in dieser Umfrage angegebenen Produkte verwendetes Tungsten vollständig aus Recycling oder Schrott stammt</v>
      </c>
    </row>
    <row r="38" spans="1:10" ht="38.25">
      <c r="A38" s="89" t="str">
        <f ca="1">Declaration!B55</f>
        <v>6) Wie hoch ist der Prozentsatz an Lieferanten, die auf Ihre Lieferkettenumfrage geantwortet haben? (*)</v>
      </c>
      <c r="B38" s="92"/>
      <c r="C38" s="92"/>
      <c r="D38" s="96"/>
      <c r="E38" s="20" t="s">
        <v>803</v>
      </c>
      <c r="F38" s="93"/>
    </row>
    <row r="39" spans="1:10" ht="26.25">
      <c r="A39" s="90" t="str">
        <f ca="1">Declaration!B56</f>
        <v>Tantal  (*)</v>
      </c>
      <c r="B39" s="268" t="str">
        <f>IF(AND($B$14="Yes",$B$19="Yes"),Declaration!D56,0)</f>
        <v>100%</v>
      </c>
      <c r="C39" s="89" t="str">
        <f ca="1">IF(H39=1,J39,I39)</f>
        <v>Vollständig</v>
      </c>
      <c r="D39" s="261" t="str">
        <f>IF(H39=1,"Click here to answer question 6 for Tantalum","")</f>
        <v/>
      </c>
      <c r="E39" s="20" t="s">
        <v>802</v>
      </c>
      <c r="F39" s="94">
        <f>F24</f>
        <v>1</v>
      </c>
      <c r="G39" s="70">
        <f>IF(B39=0,1,0)</f>
        <v>0</v>
      </c>
      <c r="H39" s="71">
        <f>F39*G39</f>
        <v>0</v>
      </c>
      <c r="I39" s="147" t="str">
        <f ca="1">OFFSET(L!$C$1,MATCH("Checker"&amp;"Comp",L!$A:$A,0)-1,SL,,)</f>
        <v>Vollständig</v>
      </c>
      <c r="J39" s="19" t="str">
        <f ca="1">OFFSET(L!$C$1,MATCH("Checker"&amp;ADDRESS(ROW(),COLUMN(),4),L!$A:$A,0)-1,SL,,)</f>
        <v>Geben Sie den Vollständigkeitsgrad der Schmelzhütteninformationen des Anbieters in Prozent in der Reiterzelle D50 der Erklärung an</v>
      </c>
    </row>
    <row r="40" spans="1:10" ht="26.25">
      <c r="A40" s="90" t="str">
        <f ca="1">Declaration!B57</f>
        <v>Zinn  (*)</v>
      </c>
      <c r="B40" s="268" t="str">
        <f>IF(AND($B$15="Yes",$B$20="Yes"),Declaration!D57,0)</f>
        <v>100%</v>
      </c>
      <c r="C40" s="89" t="str">
        <f ca="1">IF(H40=1,J40,I40)</f>
        <v>Vollständig</v>
      </c>
      <c r="D40" s="261" t="str">
        <f>IF(H40=1,"Click here to answer question 6 for Tin","")</f>
        <v/>
      </c>
      <c r="E40" s="20" t="s">
        <v>802</v>
      </c>
      <c r="F40" s="94">
        <f>F25</f>
        <v>1</v>
      </c>
      <c r="G40" s="70">
        <f>IF(B40=0,1,0)</f>
        <v>0</v>
      </c>
      <c r="H40" s="71">
        <f>F40*G40</f>
        <v>0</v>
      </c>
      <c r="I40" s="147" t="str">
        <f ca="1">OFFSET(L!$C$1,MATCH("Checker"&amp;"Comp",L!$A:$A,0)-1,SL,,)</f>
        <v>Vollständig</v>
      </c>
      <c r="J40" s="19" t="str">
        <f ca="1">OFFSET(L!$C$1,MATCH("Checker"&amp;ADDRESS(ROW(),COLUMN(),4),L!$A:$A,0)-1,SL,,)</f>
        <v>Geben Sie den Vollständigkeitsgrad der Schmelzhütteninformationen des Anbieters in Prozent in der Reiterzelle D51 der Erklärung an</v>
      </c>
    </row>
    <row r="41" spans="1:10" ht="26.25">
      <c r="A41" s="90" t="str">
        <f ca="1">Declaration!B58</f>
        <v>Gold  (*)</v>
      </c>
      <c r="B41" s="268" t="str">
        <f>IF(AND($B$16="Yes",$B$21="Yes"),Declaration!D58,0)</f>
        <v>100%</v>
      </c>
      <c r="C41" s="89" t="str">
        <f ca="1">IF(H41=1,J41,I41)</f>
        <v>Vollständig</v>
      </c>
      <c r="D41" s="261" t="str">
        <f>IF(H41=1,"Click here to answer question 6 for Gold","")</f>
        <v/>
      </c>
      <c r="E41" s="20" t="s">
        <v>802</v>
      </c>
      <c r="F41" s="94">
        <f>F26</f>
        <v>1</v>
      </c>
      <c r="G41" s="70">
        <f>IF(B41=0,1,0)</f>
        <v>0</v>
      </c>
      <c r="H41" s="71">
        <f>F41*G41</f>
        <v>0</v>
      </c>
      <c r="I41" s="147" t="str">
        <f ca="1">OFFSET(L!$C$1,MATCH("Checker"&amp;"Comp",L!$A:$A,0)-1,SL,,)</f>
        <v>Vollständig</v>
      </c>
      <c r="J41" s="19" t="str">
        <f ca="1">OFFSET(L!$C$1,MATCH("Checker"&amp;ADDRESS(ROW(),COLUMN(),4),L!$A:$A,0)-1,SL,,)</f>
        <v>Geben Sie den Vollständigkeitsgrad der Schmelzhütteninformationen des Anbieters in Prozent in der Reiterzelle D52 der Erklärung an</v>
      </c>
    </row>
    <row r="42" spans="1:10" ht="26.25">
      <c r="A42" s="90" t="str">
        <f ca="1">Declaration!B59</f>
        <v>Wolfram  (*)</v>
      </c>
      <c r="B42" s="268" t="str">
        <f>IF(AND($B$17="Yes",$B$22="Yes"),Declaration!D59,0)</f>
        <v>100%</v>
      </c>
      <c r="C42" s="89" t="str">
        <f ca="1">IF(H42=1,J42,I42)</f>
        <v>Vollständig</v>
      </c>
      <c r="D42" s="261" t="str">
        <f>IF(H42=1,"Click here to answer question 6 for Tungsten","")</f>
        <v/>
      </c>
      <c r="E42" s="20" t="s">
        <v>802</v>
      </c>
      <c r="F42" s="94">
        <f>F27</f>
        <v>1</v>
      </c>
      <c r="G42" s="70">
        <f>IF(B42=0,1,0)</f>
        <v>0</v>
      </c>
      <c r="H42" s="71">
        <f>F42*G42</f>
        <v>0</v>
      </c>
      <c r="I42" s="147" t="str">
        <f ca="1">OFFSET(L!$C$1,MATCH("Checker"&amp;"Comp",L!$A:$A,0)-1,SL,,)</f>
        <v>Vollständig</v>
      </c>
      <c r="J42" s="19" t="str">
        <f ca="1">OFFSET(L!$C$1,MATCH("Checker"&amp;ADDRESS(ROW(),COLUMN(),4),L!$A:$A,0)-1,SL,,)</f>
        <v>Geben Sie den Vollständigkeitsgrad der Schmelzhütteninformationen des Anbieters in Prozent in der Reiterzelle D53 der Erklärung an</v>
      </c>
    </row>
    <row r="43" spans="1:10" ht="51">
      <c r="A43" s="89" t="str">
        <f ca="1">Declaration!B61</f>
        <v>7) Haben Sie alle Schmelzhütten ermittelt, die das 3TG-Mineral für Ihre Lieferkette bereitstellen?  (*)</v>
      </c>
      <c r="B43" s="92"/>
      <c r="C43" s="92"/>
      <c r="D43" s="96"/>
      <c r="E43" s="20" t="s">
        <v>804</v>
      </c>
      <c r="F43" s="93"/>
    </row>
    <row r="44" spans="1:10" ht="51.75">
      <c r="A44" s="90" t="str">
        <f ca="1">Declaration!B62</f>
        <v>Tantal  (*)</v>
      </c>
      <c r="B44" s="89" t="str">
        <f>IF(AND($B$14="Yes",$B$19="Yes"),Declaration!D62,0)</f>
        <v>Yes</v>
      </c>
      <c r="C44" s="89" t="str">
        <f ca="1">IF(H44=1,J44,I44)</f>
        <v>Vollständig</v>
      </c>
      <c r="D44" s="260" t="str">
        <f>IF(H44=1,"Click here to answer question 7 for Tantalum","")</f>
        <v/>
      </c>
      <c r="E44" s="20" t="s">
        <v>1298</v>
      </c>
      <c r="F44" s="94">
        <f>F24</f>
        <v>1</v>
      </c>
      <c r="G44" s="70">
        <f>IF(B44=0,1,0)</f>
        <v>0</v>
      </c>
      <c r="H44" s="71">
        <f>F44*G44</f>
        <v>0</v>
      </c>
      <c r="I44" s="147" t="str">
        <f ca="1">OFFSET(L!$C$1,MATCH("Checker"&amp;"Comp",L!$A:$A,0)-1,SL,,)</f>
        <v>Vollständig</v>
      </c>
      <c r="J44" s="19" t="str">
        <f ca="1">OFFSET(L!$C$1,MATCH("Checker"&amp;ADDRESS(ROW(),COLUMN(),4),L!$A:$A,0)-1,SL,,)</f>
        <v xml:space="preserve">Geben Sie in der Reiterzelle D56 der Erklärung an, ob alle Schmelzhüttennamen in der Antwort auf diese Umfrage im Umfang der angegebenen Produkte zur Verfügung gestellt worden sind </v>
      </c>
    </row>
    <row r="45" spans="1:10" ht="51.75">
      <c r="A45" s="90" t="str">
        <f ca="1">Declaration!B63</f>
        <v>Zinn  (*)</v>
      </c>
      <c r="B45" s="89" t="str">
        <f>IF(AND($B$15="Yes",$B$20="Yes"),Declaration!D63,0)</f>
        <v>Yes</v>
      </c>
      <c r="C45" s="89" t="str">
        <f ca="1">IF(H45=1,J45,I45)</f>
        <v>Vollständig</v>
      </c>
      <c r="D45" s="260" t="str">
        <f>IF(H45=1,"Click here to answer question 7 for Tin","")</f>
        <v/>
      </c>
      <c r="E45" s="20" t="s">
        <v>1298</v>
      </c>
      <c r="F45" s="94">
        <f>F25</f>
        <v>1</v>
      </c>
      <c r="G45" s="70">
        <f>IF(B45=0,1,0)</f>
        <v>0</v>
      </c>
      <c r="H45" s="71">
        <f>F45*G45</f>
        <v>0</v>
      </c>
      <c r="I45" s="147" t="str">
        <f ca="1">OFFSET(L!$C$1,MATCH("Checker"&amp;"Comp",L!$A:$A,0)-1,SL,,)</f>
        <v>Vollständig</v>
      </c>
      <c r="J45" s="19" t="str">
        <f ca="1">OFFSET(L!$C$1,MATCH("Checker"&amp;ADDRESS(ROW(),COLUMN(),4),L!$A:$A,0)-1,SL,,)</f>
        <v xml:space="preserve">Geben Sie in der Reiterzelle D57 der Erklärung an, ob alle Schmelzhüttennamen in der Antwort auf diese Umfrage im Umfang der angegebenen Produkte zur Verfügung gestellt worden sind </v>
      </c>
    </row>
    <row r="46" spans="1:10" ht="51.75">
      <c r="A46" s="90" t="str">
        <f ca="1">Declaration!B64</f>
        <v>Gold  (*)</v>
      </c>
      <c r="B46" s="89" t="str">
        <f>IF(AND($B$16="Yes",$B$21="Yes"),Declaration!D64,0)</f>
        <v>Yes</v>
      </c>
      <c r="C46" s="89" t="str">
        <f ca="1">IF(H46=1,J46,I46)</f>
        <v>Vollständig</v>
      </c>
      <c r="D46" s="260" t="str">
        <f>IF(H46=1,"Click here to answer question 7 for Gold","")</f>
        <v/>
      </c>
      <c r="E46" s="20" t="s">
        <v>1298</v>
      </c>
      <c r="F46" s="94">
        <f>F26</f>
        <v>1</v>
      </c>
      <c r="G46" s="70">
        <f>IF(B46=0,1,0)</f>
        <v>0</v>
      </c>
      <c r="H46" s="71">
        <f>F46*G46</f>
        <v>0</v>
      </c>
      <c r="I46" s="147" t="str">
        <f ca="1">OFFSET(L!$C$1,MATCH("Checker"&amp;"Comp",L!$A:$A,0)-1,SL,,)</f>
        <v>Vollständig</v>
      </c>
      <c r="J46" s="19" t="str">
        <f ca="1">OFFSET(L!$C$1,MATCH("Checker"&amp;ADDRESS(ROW(),COLUMN(),4),L!$A:$A,0)-1,SL,,)</f>
        <v xml:space="preserve">Geben Sie in der Reiterzelle D58 der Erklärung an, ob alle Schmelzhüttennamen in der Antwort auf diese Umfrage im Umfang der angegebenen Produkte zur Verfügung gestellt worden sind </v>
      </c>
    </row>
    <row r="47" spans="1:10" ht="51.75">
      <c r="A47" s="90" t="str">
        <f ca="1">Declaration!B65</f>
        <v>Wolfram  (*)</v>
      </c>
      <c r="B47" s="89" t="str">
        <f>IF(AND($B$17="Yes",$B$22="Yes"),Declaration!D65,0)</f>
        <v>Yes</v>
      </c>
      <c r="C47" s="89" t="str">
        <f ca="1">IF(H47=1,J47,I47)</f>
        <v>Vollständig</v>
      </c>
      <c r="D47" s="260" t="str">
        <f>IF(H47=1,"Click here to answer question 7 for Tungsten","")</f>
        <v/>
      </c>
      <c r="E47" s="20" t="s">
        <v>1298</v>
      </c>
      <c r="F47" s="94">
        <f>F27</f>
        <v>1</v>
      </c>
      <c r="G47" s="70">
        <f>IF(B47=0,1,0)</f>
        <v>0</v>
      </c>
      <c r="H47" s="71">
        <f>F47*G47</f>
        <v>0</v>
      </c>
      <c r="I47" s="147" t="str">
        <f ca="1">OFFSET(L!$C$1,MATCH("Checker"&amp;"Comp",L!$A:$A,0)-1,SL,,)</f>
        <v>Vollständig</v>
      </c>
      <c r="J47" s="19" t="str">
        <f ca="1">OFFSET(L!$C$1,MATCH("Checker"&amp;ADDRESS(ROW(),COLUMN(),4),L!$A:$A,0)-1,SL,,)</f>
        <v xml:space="preserve">Geben Sie in der Reiterzelle D59 der Erklärung an, ob alle Schmelzhüttennamen in der Antwort auf diese Umfrage im Umfang der angegebenen Produkte zur Verfügung gestellt worden sind  </v>
      </c>
    </row>
    <row r="48" spans="1:10" ht="63.75">
      <c r="A48" s="89" t="str">
        <f ca="1">Declaration!B67</f>
        <v>8) Haben Sie alle relevanten Informationen, die Ihr Unternehmen zu den Schmelzhütten erhalten hat, in dieser Erklärung aufgeführt?  (*)</v>
      </c>
      <c r="B48" s="92"/>
      <c r="C48" s="92"/>
      <c r="D48" s="96"/>
      <c r="E48" s="20" t="s">
        <v>805</v>
      </c>
      <c r="F48" s="93"/>
    </row>
    <row r="49" spans="1:10" ht="39">
      <c r="A49" s="90" t="str">
        <f ca="1">Declaration!B68</f>
        <v>Tantal  (*)</v>
      </c>
      <c r="B49" s="89" t="str">
        <f>IF(AND($B$14="Yes",$B$19="Yes"),Declaration!D68,0)</f>
        <v>Yes</v>
      </c>
      <c r="C49" s="89" t="str">
        <f ca="1">IF(H49=1,J49,I49)</f>
        <v>Vollständig</v>
      </c>
      <c r="D49" s="261" t="str">
        <f>IF(H49=1,"Click here to answer question 8 for Tantalum","")</f>
        <v/>
      </c>
      <c r="E49" s="20" t="s">
        <v>803</v>
      </c>
      <c r="F49" s="94">
        <f>F24</f>
        <v>1</v>
      </c>
      <c r="G49" s="70">
        <f>IF(B49=0,1,0)</f>
        <v>0</v>
      </c>
      <c r="H49" s="71">
        <f>F49*G49</f>
        <v>0</v>
      </c>
      <c r="I49" s="147" t="str">
        <f ca="1">OFFSET(L!$C$1,MATCH("Checker"&amp;"Comp",L!$A:$A,0)-1,SL,,)</f>
        <v>Vollständig</v>
      </c>
      <c r="J49" s="19" t="str">
        <f ca="1">OFFSET(L!$C$1,MATCH("Checker"&amp;ADDRESS(ROW(),COLUMN(),4),L!$A:$A,0)-1,SL,,)</f>
        <v xml:space="preserve">Geben Sie in der Reiterzelle D62 der Erklärung an, ob alle Informationen über Tantalum-Schmelzhütten zur Verfügung gestellt worden sind </v>
      </c>
    </row>
    <row r="50" spans="1:10" ht="39">
      <c r="A50" s="90" t="str">
        <f ca="1">Declaration!B69</f>
        <v>Zinn  (*)</v>
      </c>
      <c r="B50" s="89" t="str">
        <f>IF(AND($B$15="Yes",$B$20="Yes"),Declaration!D69,0)</f>
        <v>Yes</v>
      </c>
      <c r="C50" s="89" t="str">
        <f ca="1">IF(H50=1,J50,I50)</f>
        <v>Vollständig</v>
      </c>
      <c r="D50" s="261" t="str">
        <f>IF(H50=1,"Click here to answer question 8 for Tin","")</f>
        <v/>
      </c>
      <c r="E50" s="20" t="s">
        <v>803</v>
      </c>
      <c r="F50" s="94">
        <f>F25</f>
        <v>1</v>
      </c>
      <c r="G50" s="70">
        <f>IF(B50=0,1,0)</f>
        <v>0</v>
      </c>
      <c r="H50" s="71">
        <f>F50*G50</f>
        <v>0</v>
      </c>
      <c r="I50" s="147" t="str">
        <f ca="1">OFFSET(L!$C$1,MATCH("Checker"&amp;"Comp",L!$A:$A,0)-1,SL,,)</f>
        <v>Vollständig</v>
      </c>
      <c r="J50" s="19" t="str">
        <f ca="1">OFFSET(L!$C$1,MATCH("Checker"&amp;ADDRESS(ROW(),COLUMN(),4),L!$A:$A,0)-1,SL,,)</f>
        <v xml:space="preserve">Geben Sie in der Reiterzelle D63 der Erklärung an, ob alle Informationen über Zinn-Schmelzhütten zur Verfügung gestellt worden sind </v>
      </c>
    </row>
    <row r="51" spans="1:10" ht="39">
      <c r="A51" s="90" t="str">
        <f ca="1">Declaration!B70</f>
        <v>Gold  (*)</v>
      </c>
      <c r="B51" s="89" t="str">
        <f>IF(AND($B$16="Yes",$B$21="Yes"),Declaration!D70,0)</f>
        <v>Yes</v>
      </c>
      <c r="C51" s="89" t="str">
        <f ca="1">IF(H51=1,J51,I51)</f>
        <v>Vollständig</v>
      </c>
      <c r="D51" s="261" t="str">
        <f>IF(H51=1,"Click here to answer question 8 for Gold","")</f>
        <v/>
      </c>
      <c r="E51" s="20" t="s">
        <v>803</v>
      </c>
      <c r="F51" s="94">
        <f>F26</f>
        <v>1</v>
      </c>
      <c r="G51" s="70">
        <f>IF(B51=0,1,0)</f>
        <v>0</v>
      </c>
      <c r="H51" s="71">
        <f>F51*G51</f>
        <v>0</v>
      </c>
      <c r="I51" s="147" t="str">
        <f ca="1">OFFSET(L!$C$1,MATCH("Checker"&amp;"Comp",L!$A:$A,0)-1,SL,,)</f>
        <v>Vollständig</v>
      </c>
      <c r="J51" s="19" t="str">
        <f ca="1">OFFSET(L!$C$1,MATCH("Checker"&amp;ADDRESS(ROW(),COLUMN(),4),L!$A:$A,0)-1,SL,,)</f>
        <v>Geben Sie in der Reiterzelle D64 der Erklärung an, ob alle Informationen über Gold-Schmelzhütten zur Verfügung gestellt worden sind</v>
      </c>
    </row>
    <row r="52" spans="1:10" ht="39">
      <c r="A52" s="90" t="str">
        <f ca="1">Declaration!B71</f>
        <v>Wolfram  (*)</v>
      </c>
      <c r="B52" s="89" t="str">
        <f>IF(AND($B$17="Yes",$B$22="Yes"),Declaration!D71,0)</f>
        <v>Yes</v>
      </c>
      <c r="C52" s="89" t="str">
        <f ca="1">IF(H52=1,J52,I52)</f>
        <v>Vollständig</v>
      </c>
      <c r="D52" s="261" t="str">
        <f>IF(H52=1,"Click here to answer question 8 for Tungsten","")</f>
        <v/>
      </c>
      <c r="E52" s="20" t="s">
        <v>803</v>
      </c>
      <c r="F52" s="94">
        <f>F27</f>
        <v>1</v>
      </c>
      <c r="G52" s="70">
        <f>IF(B52=0,1,0)</f>
        <v>0</v>
      </c>
      <c r="H52" s="71">
        <f>F52*G52</f>
        <v>0</v>
      </c>
      <c r="I52" s="147" t="str">
        <f ca="1">OFFSET(L!$C$1,MATCH("Checker"&amp;"Comp",L!$A:$A,0)-1,SL,,)</f>
        <v>Vollständig</v>
      </c>
      <c r="J52" s="19" t="str">
        <f ca="1">OFFSET(L!$C$1,MATCH("Checker"&amp;ADDRESS(ROW(),COLUMN(),4),L!$A:$A,0)-1,SL,,)</f>
        <v xml:space="preserve">Geben Sie in der Reiterzelle D65 der Erklärung an, ob alle Informationen über Tungsten-Schmelzhütten zur Verfügung gestellt worden sind </v>
      </c>
    </row>
    <row r="53" spans="1:10" ht="25.5">
      <c r="A53" s="89" t="str">
        <f ca="1">Declaration!B74</f>
        <v>Frage</v>
      </c>
      <c r="B53" s="92"/>
      <c r="C53" s="92"/>
      <c r="D53" s="96"/>
      <c r="E53" s="20" t="s">
        <v>441</v>
      </c>
      <c r="F53" s="93"/>
      <c r="G53" s="93"/>
      <c r="H53" s="93"/>
    </row>
    <row r="54" spans="1:10" ht="39">
      <c r="A54" s="89" t="str">
        <f ca="1">Declaration!B75</f>
        <v>A. Haben Sie eine konfliktfreie Beschaffungsrichtlinie für Mineralien erstellt? (*)</v>
      </c>
      <c r="B54" s="89" t="str">
        <f>Declaration!D75</f>
        <v>No</v>
      </c>
      <c r="C54" s="89" t="str">
        <f t="shared" ref="C54:C60" ca="1" si="10">IF(H54=1,J54,I54)</f>
        <v>Vollständig</v>
      </c>
      <c r="D54" s="95" t="str">
        <f>IF(H54=1,"Click here to answer question (A)","")</f>
        <v/>
      </c>
      <c r="E54" s="20" t="s">
        <v>1302</v>
      </c>
      <c r="F54" s="94">
        <f>IF(SUM(F$24:F$27)=0,0,1)</f>
        <v>1</v>
      </c>
      <c r="G54" s="70">
        <f>IF(B54=0,1,0)</f>
        <v>0</v>
      </c>
      <c r="H54" s="71">
        <f t="shared" ref="H54:H60" si="11">F54*G54</f>
        <v>0</v>
      </c>
      <c r="I54" s="147" t="str">
        <f ca="1">OFFSET(L!$C$1,MATCH("Checker"&amp;"Comp",L!$A:$A,0)-1,SL,,)</f>
        <v>Vollständig</v>
      </c>
      <c r="J54" s="19" t="str">
        <f ca="1">OFFSET(L!$C$1,MATCH("Checker"&amp;ADDRESS(ROW(),COLUMN(),4),L!$A:$A,0)-1,SL,,)</f>
        <v>Geben Sie in Zelle D75 der Erklärung an, ob Ihr Unternehmen Ihre Richtlinie zur konfliktfreien Mineralienbeschaffung auf seiner Website öffentlich verfügbar gemacht hat</v>
      </c>
    </row>
    <row r="55" spans="1:10" ht="54.75" customHeight="1">
      <c r="A55" s="89" t="str">
        <f ca="1">Declaration!B77</f>
        <v>B. Ist Ihre konfliktfreie Beschaffungsrichtlinie für Mineralien auf Ihrer Website einsehbar? (Hinweis - Wenn „Ja“, sollte der Benutzer die URL im Anmerkungsfeld angeben.) (*)</v>
      </c>
      <c r="B55" s="89" t="str">
        <f>Declaration!D77</f>
        <v>No</v>
      </c>
      <c r="C55" s="89" t="str">
        <f t="shared" ca="1" si="10"/>
        <v>Vollständig</v>
      </c>
      <c r="D55" s="95" t="str">
        <f>IF(H55=1,"Click here to answer question (B)","")</f>
        <v/>
      </c>
      <c r="E55" s="20" t="s">
        <v>1302</v>
      </c>
      <c r="F55" s="94">
        <f t="shared" ref="F55" si="12">F$54</f>
        <v>1</v>
      </c>
      <c r="G55" s="70">
        <f>IF(B55=0,1,0)</f>
        <v>0</v>
      </c>
      <c r="H55" s="71">
        <f t="shared" si="11"/>
        <v>0</v>
      </c>
      <c r="I55" s="147" t="str">
        <f ca="1">OFFSET(L!$C$1,MATCH("Checker"&amp;"Comp",L!$A:$A,0)-1,SL,,)</f>
        <v>Vollständig</v>
      </c>
      <c r="J55" s="19" t="str">
        <f ca="1">OFFSET(L!$C$1,MATCH("Checker"&amp;ADDRESS(ROW(),COLUMN(),4),L!$A:$A,0)-1,SL,,)</f>
        <v>Geben Sie in Zelle D77 der Erklärung an, ob Ihr Unternehmen Ihre Richtlinie zur konfliktfreien Mineralieneschaffung auf seiner Website öffentlich verfügbar gemacht hat</v>
      </c>
    </row>
    <row r="56" spans="1:10" ht="38.65" customHeight="1">
      <c r="A56" s="89" t="s">
        <v>5</v>
      </c>
      <c r="B56" s="89">
        <f>Declaration!G77</f>
        <v>0</v>
      </c>
      <c r="C56" s="89" t="str">
        <f t="shared" ca="1" si="10"/>
        <v>Vollständig</v>
      </c>
      <c r="D56" s="95" t="str">
        <f>IF(H56=1,"Click here to specify URL for question (B)","")</f>
        <v/>
      </c>
      <c r="E56" s="20"/>
      <c r="F56" s="94">
        <f>IF(AND(F55=1,B55="Yes"),1,0)</f>
        <v>0</v>
      </c>
      <c r="G56" s="70">
        <f>IF(LEN(B56)&gt;1,0,1)</f>
        <v>1</v>
      </c>
      <c r="H56" s="71">
        <f t="shared" si="11"/>
        <v>0</v>
      </c>
      <c r="I56" s="147" t="str">
        <f ca="1">OFFSET(L!$C$1,MATCH("Checker"&amp;"Comp",L!$A:$A,0)-1,SL,,)</f>
        <v>Vollständig</v>
      </c>
      <c r="J56" s="140" t="str">
        <f ca="1">OFFSET(L!$C$1,MATCH("Checker"&amp;ADDRESS(ROW(),COLUMN(),4),L!$A:$A,0)-1,SL,,)</f>
        <v xml:space="preserve">Geben Sie in der Arbeitsblattzelle D77 der Erklärung den URL an, falls Sie Frage B mit „Ja“ beantworten. Das Format des URL sollte „www.companyname.com“ entsprechen </v>
      </c>
    </row>
    <row r="57" spans="1:10" ht="51">
      <c r="A57" s="89" t="str">
        <f ca="1">Declaration!B79</f>
        <v>C. Verlangen Sie von Ihren direkten Lieferanten, das 3TG-Mineral ausschließlich von Schmelzhütten zu beziehen, deren Sorgfaltspflichts-Praktiken von einer unabhängigen Instanz überprüft wurden? (*)</v>
      </c>
      <c r="B57" s="89" t="str">
        <f>Declaration!D79</f>
        <v>No</v>
      </c>
      <c r="C57" s="89" t="str">
        <f t="shared" ca="1" si="10"/>
        <v>Vollständig</v>
      </c>
      <c r="D57" s="95" t="str">
        <f>IF(H57=1,"Click here to answer question (C)","")</f>
        <v/>
      </c>
      <c r="E57" s="20" t="s">
        <v>1302</v>
      </c>
      <c r="F57" s="94">
        <f>F$54</f>
        <v>1</v>
      </c>
      <c r="G57" s="70">
        <f>IF(B57=0,1,0)</f>
        <v>0</v>
      </c>
      <c r="H57" s="71">
        <f t="shared" si="11"/>
        <v>0</v>
      </c>
      <c r="I57" s="147" t="str">
        <f ca="1">OFFSET(L!$C$1,MATCH("Checker"&amp;"Comp",L!$A:$A,0)-1,SL,,)</f>
        <v>Vollständig</v>
      </c>
      <c r="J57" s="19" t="str">
        <f ca="1">OFFSET(L!$C$1,MATCH("Checker"&amp;ADDRESS(ROW(),COLUMN(),4),L!$A:$A,0)-1,SL,,)</f>
        <v>Geben Sie in Zelle D79 der Erklärung an, ob Sie von Ihren direkten Lieferanten verlangen, bei Schmelzhütten einzukaufen, deren Due-Diligence-Praktiken von unabhängigen Prüfungsprogramm Dritter überprüft worden sind</v>
      </c>
    </row>
    <row r="58" spans="1:10" ht="39">
      <c r="A58" s="89" t="str">
        <f ca="1">Declaration!B81</f>
        <v>D. Haben Sie Sorgfaltspflichtmaßnahmen für die konfliktfreie Beschaffung in Kraft gesetzt? (*)</v>
      </c>
      <c r="B58" s="89" t="str">
        <f>Declaration!D81</f>
        <v>No</v>
      </c>
      <c r="C58" s="89" t="str">
        <f t="shared" ca="1" si="10"/>
        <v>Vollständig</v>
      </c>
      <c r="D58" s="95" t="str">
        <f>IF(H58=1,"Click here to answer question (D)","")</f>
        <v/>
      </c>
      <c r="E58" s="20" t="s">
        <v>1302</v>
      </c>
      <c r="F58" s="94">
        <f>F$54</f>
        <v>1</v>
      </c>
      <c r="G58" s="70">
        <f>IF(B58=0,1,0)</f>
        <v>0</v>
      </c>
      <c r="H58" s="71">
        <f t="shared" si="11"/>
        <v>0</v>
      </c>
      <c r="I58" s="147" t="str">
        <f ca="1">OFFSET(L!$C$1,MATCH("Checker"&amp;"Comp",L!$A:$A,0)-1,SL,,)</f>
        <v>Vollständig</v>
      </c>
      <c r="J58" s="19" t="str">
        <f ca="1">OFFSET(L!$C$1,MATCH("Checker"&amp;ADDRESS(ROW(),COLUMN(),4),L!$A:$A,0)-1,SL,,)</f>
        <v>Geben Sie in der Reiterzelle D81 der Erklärung an, ob Sie von Ihren Lieferanten Namen von Schmelzhütten verlangen</v>
      </c>
    </row>
    <row r="59" spans="1:10" ht="39">
      <c r="A59" s="89" t="str">
        <f ca="1">Declaration!B83</f>
        <v>E. Veranstaltet Ihr Unternehmen (eine) Konfliktmineralienumfrage(n) mit seinen entsprechenden Lieferanten? (*)</v>
      </c>
      <c r="B59" s="89" t="str">
        <f>Declaration!D83</f>
        <v>No</v>
      </c>
      <c r="C59" s="89" t="str">
        <f t="shared" ca="1" si="10"/>
        <v>Vollständig</v>
      </c>
      <c r="D59" s="95" t="str">
        <f>IF(H59=1,"Click here to answer question (E)","")</f>
        <v/>
      </c>
      <c r="E59" s="20" t="s">
        <v>1302</v>
      </c>
      <c r="F59" s="94">
        <f>F$54</f>
        <v>1</v>
      </c>
      <c r="G59" s="70">
        <f>IF(B59=0,1,0)</f>
        <v>0</v>
      </c>
      <c r="H59" s="71">
        <f t="shared" si="11"/>
        <v>0</v>
      </c>
      <c r="I59" s="147" t="str">
        <f ca="1">OFFSET(L!$C$1,MATCH("Checker"&amp;"Comp",L!$A:$A,0)-1,SL,,)</f>
        <v>Vollständig</v>
      </c>
      <c r="J59" s="19" t="str">
        <f ca="1">OFFSET(L!$C$1,MATCH("Checker"&amp;ADDRESS(ROW(),COLUMN(),4),L!$A:$A,0)-1,SL,,)</f>
        <v>Geben Sie in der Reiterzelle D83 der Erklärung an, ob Sie von Ihren Lieferanten verlangen, diese Vorlage zur Berichterstattung über Konfliktmineralien auszufüllen</v>
      </c>
    </row>
    <row r="60" spans="1:10" ht="51">
      <c r="A60" s="89" t="str">
        <f ca="1">Declaration!B85</f>
        <v>F. Überprüfen Sie die Sorgfaltspflichts-Informationen, die Sie von ihren Lieferanten erhalten, anhand der Erwartungen Ihres Unternehmens? (*)</v>
      </c>
      <c r="B60" s="89" t="str">
        <f>Declaration!D85</f>
        <v>No</v>
      </c>
      <c r="C60" s="89" t="str">
        <f t="shared" ca="1" si="10"/>
        <v>Vollständig</v>
      </c>
      <c r="D60" s="95" t="str">
        <f>IF(H60=1,"Click here to answer question (F)","")</f>
        <v/>
      </c>
      <c r="E60" s="20" t="s">
        <v>1302</v>
      </c>
      <c r="F60" s="94">
        <f>F$54</f>
        <v>1</v>
      </c>
      <c r="G60" s="70">
        <f>IF(B60=0,1,0)</f>
        <v>0</v>
      </c>
      <c r="H60" s="71">
        <f t="shared" si="11"/>
        <v>0</v>
      </c>
      <c r="I60" s="147" t="str">
        <f ca="1">OFFSET(L!$C$1,MATCH("Checker"&amp;"Comp",L!$A:$A,0)-1,SL,,)</f>
        <v>Vollständig</v>
      </c>
      <c r="J60" s="19" t="str">
        <f ca="1">OFFSET(L!$C$1,MATCH("Checker"&amp;ADDRESS(ROW(),COLUMN(),4),L!$A:$A,0)-1,SL,,)</f>
        <v>Geben Sie in der Reiterzelle D85 der Erklärung an, ob Sie Antworten der Lieferanten auf die Anforderungen Ihres Unternehmens überprüfen</v>
      </c>
    </row>
    <row r="61" spans="1:10" ht="15" hidden="1">
      <c r="A61" s="89"/>
      <c r="B61" s="89"/>
      <c r="C61" s="89"/>
      <c r="D61" s="95"/>
      <c r="E61" s="20"/>
      <c r="F61" s="94"/>
      <c r="G61" s="70"/>
      <c r="H61" s="71"/>
      <c r="I61" s="147"/>
    </row>
    <row r="62" spans="1:10" ht="39">
      <c r="A62" s="89" t="str">
        <f ca="1">Declaration!B87</f>
        <v>G. Sieht Ihr Review-Prozess ein Korrekturmaßnahmen-Management vor? (*)</v>
      </c>
      <c r="B62" s="89" t="str">
        <f>Declaration!D87</f>
        <v>No</v>
      </c>
      <c r="C62" s="89" t="str">
        <f t="shared" ref="C62:C68" ca="1" si="13">IF(H62=1,J62,I62)</f>
        <v>Vollständig</v>
      </c>
      <c r="D62" s="95" t="str">
        <f>IF(H62=1,"Click here to answer question (G)","")</f>
        <v/>
      </c>
      <c r="E62" s="20" t="s">
        <v>1302</v>
      </c>
      <c r="F62" s="94">
        <f>F$54</f>
        <v>1</v>
      </c>
      <c r="G62" s="70">
        <f>IF(B62=0,1,0)</f>
        <v>0</v>
      </c>
      <c r="H62" s="71">
        <f t="shared" ref="H62:H69" si="14">F62*G62</f>
        <v>0</v>
      </c>
      <c r="I62" s="147" t="str">
        <f ca="1">OFFSET(L!$C$1,MATCH("Checker"&amp;"Comp",L!$A:$A,0)-1,SL,,)</f>
        <v>Vollständig</v>
      </c>
      <c r="J62" s="19" t="str">
        <f ca="1">OFFSET(L!$C$1,MATCH("Checker"&amp;ADDRESS(ROW(),COLUMN(),4),L!$A:$A,0)-1,SL,,)</f>
        <v>Geben Sie in der Reiterzelle D87 der Erklärung an, ob Ihr Prüfungsverfahren ein Abhilfemaßnahmen-Management umfasst</v>
      </c>
    </row>
    <row r="63" spans="1:10" ht="39">
      <c r="A63" s="89" t="str">
        <f ca="1">Declaration!B89</f>
        <v>H. Ist Ihr Unternehmen zu einer jährlichen Offenlegung der Konfliktmineralien verpflichtet? (*)</v>
      </c>
      <c r="B63" s="89" t="str">
        <f>Declaration!D89</f>
        <v>No</v>
      </c>
      <c r="C63" s="89" t="str">
        <f t="shared" ca="1" si="13"/>
        <v>Vollständig</v>
      </c>
      <c r="D63" s="95" t="str">
        <f>IF(H63=1,"Click here to answer question (H)","")</f>
        <v/>
      </c>
      <c r="E63" s="20" t="s">
        <v>1302</v>
      </c>
      <c r="F63" s="94">
        <f>F$54</f>
        <v>1</v>
      </c>
      <c r="G63" s="70">
        <f>IF(B63=0,1,0)</f>
        <v>0</v>
      </c>
      <c r="H63" s="71">
        <f t="shared" si="14"/>
        <v>0</v>
      </c>
      <c r="I63" s="147" t="str">
        <f ca="1">OFFSET(L!$C$1,MATCH("Checker"&amp;"Comp",L!$A:$A,0)-1,SL,,)</f>
        <v>Vollständig</v>
      </c>
      <c r="J63" s="19" t="str">
        <f ca="1">OFFSET(L!$C$1,MATCH("Checker"&amp;ADDRESS(ROW(),COLUMN(),4),L!$A:$A,0)-1,SL,,)</f>
        <v>Geben Sie in Zelle D89 der Erklärung an, ob Sie der Offenlegungspflicht gegenüber der SEC, der EU-Regelung oder beiden unterliegen</v>
      </c>
    </row>
    <row r="64" spans="1:10" ht="39">
      <c r="A64" s="89" t="s">
        <v>1295</v>
      </c>
      <c r="B64" s="89" t="str">
        <f ca="1">IF(G64=1,"No products or item numbers listed","One or more product / item numbers have been provided")</f>
        <v>One or more product / item numbers have been provided</v>
      </c>
      <c r="C64" s="89" t="str">
        <f t="shared" ca="1" si="13"/>
        <v>Vollständig</v>
      </c>
      <c r="D64" s="95" t="str">
        <f ca="1">IF(H64=1,"Click here to enter detail on Product List tab","")</f>
        <v/>
      </c>
      <c r="E64" s="20" t="s">
        <v>1302</v>
      </c>
      <c r="F64" s="94">
        <f>IF(B5=Declaration!Q9,1,0)</f>
        <v>1</v>
      </c>
      <c r="G64" s="70" cm="1">
        <f t="array" aca="1" ref="G64" ca="1">IF(INDIRECT("'Product List'!B6")="",1,0)</f>
        <v>0</v>
      </c>
      <c r="H64" s="71">
        <f t="shared" ca="1" si="14"/>
        <v>0</v>
      </c>
      <c r="I64" s="147" t="str">
        <f ca="1">OFFSET(L!$C$1,MATCH("Checker"&amp;"Comp",L!$A:$A,0)-1,SL,,)</f>
        <v>Vollständig</v>
      </c>
      <c r="J64" s="19" t="str">
        <f ca="1">OFFSET(L!$C$1,MATCH("Checker"&amp;ADDRESS(ROW(),COLUMN(),4),L!$A:$A,0)-1,SL,,)</f>
        <v>Nennen Sie ggf. ein oder mehr Produkte oder Gegenstandsnummern, auf die diese Erklärung anwendbar ist. Wählen Sie im Erklärungsreiter Hyperlink in Zelle 6H1, um den Reiter „Produktliste“ einzugeben</v>
      </c>
    </row>
    <row r="65" spans="1:12" ht="39">
      <c r="A65" s="89" t="s">
        <v>15157</v>
      </c>
      <c r="B65" s="89"/>
      <c r="C65" s="89" t="str">
        <f t="shared" ca="1" si="13"/>
        <v>Vollständig</v>
      </c>
      <c r="D65" s="95" t="str">
        <f>IF(H65=0,"","Click here to provide smelter information")</f>
        <v/>
      </c>
      <c r="E65" s="20" t="s">
        <v>1302</v>
      </c>
      <c r="F65" s="94">
        <f>F24</f>
        <v>1</v>
      </c>
      <c r="G65" s="70">
        <f>IF(AND(COUNTIF(SmelterIdetifiedForMetal,"Tantalum")&gt;0,COUNTIF('Smelter List'!AB$5:AB$2504,"Tantalum?*")&gt;0),0,1)</f>
        <v>0</v>
      </c>
      <c r="H65" s="71">
        <f t="shared" si="14"/>
        <v>0</v>
      </c>
      <c r="I65" s="147" t="str">
        <f ca="1">OFFSET(L!$C$1,MATCH("Checker"&amp;"Comp",L!$A:$A,0)-1,SL,,)</f>
        <v>Vollständig</v>
      </c>
      <c r="J65" s="19" t="str">
        <f ca="1">OFFSET(L!$C$1,MATCH("Checker"&amp;ADDRESS(ROW(),COLUMN(),4),L!$A:$A,0)-1,SL,,)</f>
        <v xml:space="preserve">Geben Sie im Reiter „Smelter List“ eine Liste von Tantalum-Schmelzhütten ein, die Material für die Lieferkette beitragen </v>
      </c>
      <c r="K65" s="154">
        <f>IF(H14+H19&gt;0,1,0)</f>
        <v>0</v>
      </c>
      <c r="L65" s="19" t="e">
        <f ca="1">OFFSET(L!$C$1,MATCH("Checker"&amp;ADDRESS(ROW(),COLUMN(),4),L!$A:$A,0)-1,SL,,)</f>
        <v>#N/A</v>
      </c>
    </row>
    <row r="66" spans="1:12" ht="39">
      <c r="A66" s="89" t="s">
        <v>1851</v>
      </c>
      <c r="B66" s="89"/>
      <c r="C66" s="89" t="str">
        <f t="shared" ca="1" si="13"/>
        <v>Vollständig</v>
      </c>
      <c r="D66" s="95" t="str">
        <f>IF(H66=0,"","Click here to provide smelter information")</f>
        <v/>
      </c>
      <c r="E66" s="20" t="s">
        <v>803</v>
      </c>
      <c r="F66" s="94">
        <f>F25</f>
        <v>1</v>
      </c>
      <c r="G66" s="70">
        <f>IF(AND(COUNTIF(SmelterIdetifiedForMetal,"Tin")&gt;0,COUNTIF('Smelter List'!AB$5:AB$2504,"Tin?*")&gt;0),0,1)</f>
        <v>0</v>
      </c>
      <c r="H66" s="71">
        <f t="shared" si="14"/>
        <v>0</v>
      </c>
      <c r="I66" s="147" t="str">
        <f ca="1">OFFSET(L!$C$1,MATCH("Checker"&amp;"Comp",L!$A:$A,0)-1,SL,,)</f>
        <v>Vollständig</v>
      </c>
      <c r="J66" s="19" t="str">
        <f ca="1">OFFSET(L!$C$1,MATCH("Checker"&amp;ADDRESS(ROW(),COLUMN(),4),L!$A:$A,0)-1,SL,,)</f>
        <v xml:space="preserve">Geben Sie im Reiter „Smelter List“ eine Liste von Zinn-Schmelzhütten ein, die Material für die Lieferkette beitragen    </v>
      </c>
      <c r="K66" s="154">
        <f>IF(H15+H20&gt;0,1,0)</f>
        <v>0</v>
      </c>
      <c r="L66" s="19" t="e">
        <f ca="1">OFFSET(L!$C$1,MATCH("Checker"&amp;ADDRESS(ROW(),COLUMN(),4),L!$A:$A,0)-1,SL,,)</f>
        <v>#N/A</v>
      </c>
    </row>
    <row r="67" spans="1:12" ht="39">
      <c r="A67" s="89" t="s">
        <v>1852</v>
      </c>
      <c r="B67" s="89"/>
      <c r="C67" s="89" t="str">
        <f t="shared" ca="1" si="13"/>
        <v>Vollständig</v>
      </c>
      <c r="D67" s="95" t="str">
        <f>IF(H67=0,"","Click here to provide smelter information")</f>
        <v/>
      </c>
      <c r="E67" s="20" t="s">
        <v>803</v>
      </c>
      <c r="F67" s="94">
        <f>F26</f>
        <v>1</v>
      </c>
      <c r="G67" s="70">
        <f>IF(AND(COUNTIF(SmelterIdetifiedForMetal,"Gold")&gt;0,COUNTIF('Smelter List'!AB$5:AB$2504,"Gold?*")&gt;0),0,1)</f>
        <v>0</v>
      </c>
      <c r="H67" s="71">
        <f t="shared" si="14"/>
        <v>0</v>
      </c>
      <c r="I67" s="147" t="str">
        <f ca="1">OFFSET(L!$C$1,MATCH("Checker"&amp;"Comp",L!$A:$A,0)-1,SL,,)</f>
        <v>Vollständig</v>
      </c>
      <c r="J67" s="19" t="str">
        <f ca="1">OFFSET(L!$C$1,MATCH("Checker"&amp;ADDRESS(ROW(),COLUMN(),4),L!$A:$A,0)-1,SL,,)</f>
        <v xml:space="preserve">Geben Sie im Reiter „Smelter List“ eine Liste von Gold-Schmelzhütten ein, die Material für die Lieferkette beitragen  </v>
      </c>
      <c r="K67" s="154">
        <f>IF(H16+H21&gt;0,1,0)</f>
        <v>0</v>
      </c>
      <c r="L67" s="19" t="e">
        <f ca="1">OFFSET(L!$C$1,MATCH("Checker"&amp;ADDRESS(ROW(),COLUMN(),4),L!$A:$A,0)-1,SL,,)</f>
        <v>#N/A</v>
      </c>
    </row>
    <row r="68" spans="1:12" ht="39">
      <c r="A68" s="89" t="s">
        <v>1853</v>
      </c>
      <c r="B68" s="89"/>
      <c r="C68" s="89" t="str">
        <f t="shared" ca="1" si="13"/>
        <v>Vollständig</v>
      </c>
      <c r="D68" s="95" t="str">
        <f>IF(H68=0,"","Click here to provide smelter information")</f>
        <v/>
      </c>
      <c r="E68" s="20" t="s">
        <v>803</v>
      </c>
      <c r="F68" s="94">
        <f>F27</f>
        <v>1</v>
      </c>
      <c r="G68" s="70">
        <f>IF(AND(COUNTIF(SmelterIdetifiedForMetal,"Tungsten")&gt;0,COUNTIF('Smelter List'!AB$5:AB$2504,"Tungsten?*")&gt;0),0,1)</f>
        <v>0</v>
      </c>
      <c r="H68" s="71">
        <f t="shared" si="14"/>
        <v>0</v>
      </c>
      <c r="I68" s="147" t="str">
        <f ca="1">OFFSET(L!$C$1,MATCH("Checker"&amp;"Comp",L!$A:$A,0)-1,SL,,)</f>
        <v>Vollständig</v>
      </c>
      <c r="J68" s="19" t="str">
        <f ca="1">OFFSET(L!$C$1,MATCH("Checker"&amp;ADDRESS(ROW(),COLUMN(),4),L!$A:$A,0)-1,SL,,)</f>
        <v xml:space="preserve">Geben Sie im Reiter „Smelter List“ eine Liste von Tungsten-Schmelzhütten ein, die Material für die Lieferkette beitragen  </v>
      </c>
      <c r="K68" s="154">
        <f>IF(H17+H22&gt;0,1,0)</f>
        <v>0</v>
      </c>
      <c r="L68" s="19" t="e">
        <f ca="1">OFFSET(L!$C$1,MATCH("Checker"&amp;ADDRESS(ROW(),COLUMN(),4),L!$A:$A,0)-1,SL,,)</f>
        <v>#N/A</v>
      </c>
    </row>
    <row r="69" spans="1:12" ht="25.5">
      <c r="A69" s="162" t="s">
        <v>2350</v>
      </c>
      <c r="B69" s="89"/>
      <c r="C69" s="162" t="str">
        <f ca="1">IF(F69=0,J69,IF(G69=0,I69,L69))</f>
        <v>Vollständig</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Vollständig</v>
      </c>
      <c r="J69" s="19" t="s">
        <v>2351</v>
      </c>
      <c r="K69" s="154"/>
      <c r="L69" s="19" t="s">
        <v>2352</v>
      </c>
    </row>
    <row r="70" spans="1:12">
      <c r="H70" s="19">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4" sqref="B4:D4"/>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423" t="str">
        <f ca="1">OFFSET(L!$C$1,MATCH("Product List"&amp;ADDRESS(ROW(),COLUMN(),4),L!$A:$A,0)-1,SL,,)</f>
        <v>Abschluss nur erforderlich, wenn die Ebene "Produkt (oder eine Liste von Produkten)" auf der "Erklärung" Arbeitsblatt ausgewählt wurde-</v>
      </c>
      <c r="B1" s="424"/>
      <c r="C1" s="424"/>
      <c r="D1" s="424"/>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422" t="s">
        <v>894</v>
      </c>
      <c r="C4" s="422"/>
      <c r="D4" s="422"/>
      <c r="E4" s="24"/>
      <c r="F4"/>
    </row>
    <row r="5" spans="1:6" s="21" customFormat="1" ht="15.75">
      <c r="A5" s="131"/>
      <c r="B5" s="132" t="str">
        <f ca="1">OFFSET(L!$C$1,MATCH("Product List"&amp;ADDRESS(ROW(),COLUMN(),4),L!$A:$A,0)-1,SL,,)</f>
        <v>Produkt- oder Artikelnummer (*)</v>
      </c>
      <c r="C5" s="132" t="str">
        <f ca="1">OFFSET(L!$C$1,MATCH("Product List"&amp;ADDRESS(ROW(),COLUMN(),4),L!$A:$A,0)-1,SL,,)</f>
        <v>Produkt- oder Artikelbeschreibung</v>
      </c>
      <c r="D5" s="72" t="str">
        <f ca="1">OFFSET(L!$C$1,MATCH("Product List"&amp;ADDRESS(ROW(),COLUMN(),4),L!$A:$A,0)-1,SL,,)</f>
        <v>Kommentare</v>
      </c>
      <c r="E5" s="24"/>
      <c r="F5"/>
    </row>
    <row r="6" spans="1:6" ht="15.75">
      <c r="A6" s="128"/>
      <c r="B6" s="274" t="s">
        <v>16018</v>
      </c>
      <c r="C6" s="98" t="s">
        <v>15803</v>
      </c>
      <c r="D6" s="98"/>
      <c r="E6" s="276"/>
    </row>
    <row r="7" spans="1:6" ht="15.75">
      <c r="A7" s="129"/>
      <c r="B7" s="274" t="s">
        <v>16019</v>
      </c>
      <c r="C7" s="98" t="s">
        <v>15804</v>
      </c>
      <c r="D7" s="98"/>
      <c r="E7" s="276"/>
    </row>
    <row r="8" spans="1:6" ht="31.5">
      <c r="A8" s="129"/>
      <c r="B8" s="274" t="s">
        <v>16020</v>
      </c>
      <c r="C8" s="98" t="s">
        <v>15805</v>
      </c>
      <c r="D8" s="98"/>
      <c r="E8" s="276"/>
    </row>
    <row r="9" spans="1:6" ht="31.5">
      <c r="A9" s="129"/>
      <c r="B9" s="274" t="s">
        <v>16021</v>
      </c>
      <c r="C9" s="98" t="s">
        <v>15806</v>
      </c>
      <c r="D9" s="98"/>
      <c r="E9" s="276"/>
    </row>
    <row r="10" spans="1:6" ht="15.75">
      <c r="A10" s="129"/>
      <c r="B10" s="274" t="s">
        <v>16022</v>
      </c>
      <c r="C10" s="98" t="s">
        <v>15807</v>
      </c>
      <c r="D10" s="98"/>
      <c r="E10" s="276"/>
    </row>
    <row r="11" spans="1:6" ht="15.75">
      <c r="A11" s="129"/>
      <c r="B11" s="274" t="s">
        <v>16023</v>
      </c>
      <c r="C11" s="98" t="s">
        <v>15808</v>
      </c>
      <c r="D11" s="98"/>
      <c r="E11" s="276"/>
    </row>
    <row r="12" spans="1:6" ht="15.75">
      <c r="A12" s="129"/>
      <c r="B12" s="274" t="s">
        <v>16024</v>
      </c>
      <c r="C12" s="98" t="s">
        <v>15809</v>
      </c>
      <c r="D12" s="98"/>
      <c r="E12" s="276"/>
    </row>
    <row r="13" spans="1:6" ht="15.75">
      <c r="A13" s="129"/>
      <c r="B13" s="274" t="s">
        <v>16025</v>
      </c>
      <c r="C13" s="98" t="s">
        <v>15810</v>
      </c>
      <c r="D13" s="98" t="s">
        <v>15814</v>
      </c>
      <c r="E13" s="276"/>
    </row>
    <row r="14" spans="1:6" ht="15.75">
      <c r="A14" s="129"/>
      <c r="B14" s="274" t="s">
        <v>16026</v>
      </c>
      <c r="C14" s="98" t="s">
        <v>15811</v>
      </c>
      <c r="D14" s="98"/>
      <c r="E14" s="276"/>
    </row>
    <row r="15" spans="1:6" ht="15.75">
      <c r="A15" s="129"/>
      <c r="B15" s="274" t="s">
        <v>16027</v>
      </c>
      <c r="C15" s="98" t="s">
        <v>15812</v>
      </c>
      <c r="D15" s="98"/>
      <c r="E15" s="276"/>
    </row>
    <row r="16" spans="1:6" ht="31.5">
      <c r="A16" s="129"/>
      <c r="B16" s="274" t="s">
        <v>16028</v>
      </c>
      <c r="C16" s="98" t="s">
        <v>15813</v>
      </c>
      <c r="D16" s="98" t="s">
        <v>15814</v>
      </c>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425" t="str">
        <f ca="1">OFFSET(L!$C$1,MATCH("General"&amp;"Cpy",L!$A:$A,0)-1,SL,,)</f>
        <v>© 2023 Responsible Minerals Initiative. All rights reserved.</v>
      </c>
      <c r="C2006" s="425"/>
      <c r="D2006" s="425"/>
      <c r="E2006" s="279"/>
    </row>
    <row r="2007" spans="1:5" ht="13.5"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I626" sqref="I626:I627"/>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426" t="str">
        <f ca="1">OFFSET(L!$C$1,MATCH("Smelter Look-up"&amp;ADDRESS(ROW(),COLUMN(),4),L!$A:$A,0)-1,SL,,)</f>
        <v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v>
      </c>
      <c r="B1" s="426"/>
      <c r="C1" s="426"/>
      <c r="D1" s="426"/>
      <c r="E1" s="426"/>
      <c r="F1" s="426"/>
      <c r="G1" s="426"/>
    </row>
    <row r="2" spans="1:11">
      <c r="A2" s="427"/>
      <c r="B2" s="427"/>
      <c r="C2" s="427"/>
      <c r="D2" s="427"/>
      <c r="E2" s="427"/>
      <c r="F2" s="427"/>
      <c r="G2" s="427"/>
      <c r="H2" s="427"/>
      <c r="I2" s="427"/>
    </row>
    <row r="3" spans="1:11">
      <c r="A3" s="427"/>
      <c r="B3" s="427"/>
      <c r="C3" s="427"/>
      <c r="D3" s="427"/>
      <c r="E3" s="427"/>
      <c r="F3" s="427"/>
      <c r="G3" s="427"/>
      <c r="H3" s="427"/>
      <c r="I3" s="427"/>
    </row>
    <row r="4" spans="1:11" s="192" customFormat="1" ht="51">
      <c r="A4" s="191" t="str">
        <f ca="1">OFFSET(L!$C$1,MATCH("Smelter Look-up"&amp;ADDRESS(ROW(),COLUMN(),4),L!$A:$A,0)-1,SL,,)</f>
        <v>Metall</v>
      </c>
      <c r="B4" s="191" t="str">
        <f ca="1">OFFSET(L!$C$1,MATCH("Smelter Look-up"&amp;ADDRESS(ROW(),COLUMN(),4),L!$A:$A,0)-1,SL,,)</f>
        <v>Schmelzhüttensuche (*)</v>
      </c>
      <c r="C4" s="191" t="str">
        <f ca="1">OFFSET(L!$C$1,MATCH("Smelter Look-up"&amp;ADDRESS(ROW(),COLUMN(),4),L!$A:$A,0)-1,SL,,)</f>
        <v>Standard Schmelzhütten Namen</v>
      </c>
      <c r="D4" s="191" t="str">
        <f ca="1">OFFSET(L!$C$1,MATCH("Smelter Look-up"&amp;ADDRESS(ROW(),COLUMN(),4),L!$A:$A,0)-1,SL,,)</f>
        <v>Schmelzhütte: Land</v>
      </c>
      <c r="E4" s="191" t="str">
        <f ca="1">OFFSET(L!$C$1,MATCH("Smelter Look-up"&amp;ADDRESS(ROW(),COLUMN(),4),L!$A:$A,0)-1,SL,,)</f>
        <v>Schmelzhütten-ID</v>
      </c>
      <c r="F4" s="191" t="str">
        <f ca="1">OFFSET(L!$C$1,MATCH("Smelter Look-up"&amp;ADDRESS(ROW(),COLUMN(),4),L!$A:$A,0)-1,SL,,)</f>
        <v>Quelle der Schmelzhütte Id-Nummer</v>
      </c>
      <c r="G4" s="191" t="str">
        <f ca="1">OFFSET(L!$C$1,MATCH("Smelter Look-up"&amp;ADDRESS(ROW(),COLUMN(),4),L!$A:$A,0)-1,SL,,)</f>
        <v>Schmelzhütten: Straße</v>
      </c>
      <c r="H4" s="191" t="str">
        <f ca="1">OFFSET(L!$C$1,MATCH("Smelter Look-up"&amp;ADDRESS(ROW(),COLUMN(),4),L!$A:$A,0)-1,SL,,)</f>
        <v>Schmelzhütten: Stadt</v>
      </c>
      <c r="I4" s="191" t="str">
        <f ca="1">OFFSET(L!$C$1,MATCH("Smelter Look-up"&amp;ADDRESS(ROW(),COLUMN(),4),L!$A:$A,0)-1,SL,,)</f>
        <v>Schmelzhütten: Bundesland/Provinz</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5">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30">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42.7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16.7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05">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28">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56.75">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28.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56.2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42.75">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0">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42.7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28.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42.75">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D0EB8BF9-25ED-4DCD-BB8A-792E1A71667C}"/>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3CF409B5-1FDA-4E47-9AE8-B4CEFFE5BCB7}"/>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Johannes Kromer</cp:lastModifiedBy>
  <cp:lastPrinted>2015-04-21T20:47:43Z</cp:lastPrinted>
  <dcterms:created xsi:type="dcterms:W3CDTF">2010-06-21T21:00:23Z</dcterms:created>
  <dcterms:modified xsi:type="dcterms:W3CDTF">2023-09-15T05:59:55Z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